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Xara\Desktop\Προγραμματισμός και Έλεγχος Παραγωγής\Διαλέξεις ppt\5. Συγκεντρωτικός Προγραμματισμός\Αρχείο Φροντιστηρίου Συγκεντρωτικός Προγραμματισμός\"/>
    </mc:Choice>
  </mc:AlternateContent>
  <xr:revisionPtr revIDLastSave="0" documentId="13_ncr:1_{42F4437D-237E-46F2-B0F3-E0EEEF43D950}" xr6:coauthVersionLast="47" xr6:coauthVersionMax="47" xr10:uidLastSave="{00000000-0000-0000-0000-000000000000}"/>
  <bookViews>
    <workbookView xWindow="-110" yWindow="-110" windowWidth="19420" windowHeight="10560" tabRatio="753" activeTab="1" xr2:uid="{00000000-000D-0000-FFFF-FFFF00000000}"/>
  </bookViews>
  <sheets>
    <sheet name="Learning Curve" sheetId="7" r:id="rId1"/>
    <sheet name="Σταθερή παραγωγή στο ΜΟ" sheetId="1" r:id="rId2"/>
    <sheet name="Σταθερή Παραγωγή στο Μέγιστο" sheetId="2" r:id="rId3"/>
    <sheet name="Παραγωγή με Υπερωρίες" sheetId="3" r:id="rId4"/>
    <sheet name="Cost Analysis" sheetId="6" r:id="rId5"/>
    <sheet name="Outsourcing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7" l="1"/>
  <c r="C3" i="7"/>
  <c r="C8" i="7"/>
  <c r="Q4" i="3"/>
  <c r="N8" i="3" l="1"/>
  <c r="M7" i="3"/>
  <c r="K4" i="3"/>
  <c r="J4" i="3"/>
  <c r="I5" i="3"/>
  <c r="I4" i="3"/>
  <c r="S4" i="2" a="1"/>
  <c r="S4" i="2" s="1"/>
  <c r="R4" i="2"/>
  <c r="Q4" i="2"/>
  <c r="P4" i="2"/>
  <c r="O4" i="2"/>
  <c r="H17" i="2"/>
  <c r="F18" i="2"/>
  <c r="F17" i="2"/>
  <c r="O19" i="1"/>
  <c r="G17" i="1"/>
  <c r="O18" i="1"/>
  <c r="O17" i="1"/>
  <c r="Q5" i="1"/>
  <c r="Q4" i="1"/>
  <c r="O4" i="1"/>
  <c r="N4" i="1" a="1"/>
  <c r="N4" i="1" s="1"/>
  <c r="M4" i="1"/>
  <c r="L4" i="1"/>
  <c r="K15" i="1"/>
  <c r="J4" i="1"/>
  <c r="K4" i="1" s="1"/>
  <c r="J7" i="1"/>
  <c r="J6" i="1"/>
  <c r="J5" i="1"/>
  <c r="I5" i="1" l="1"/>
  <c r="I4" i="1"/>
  <c r="G22" i="1"/>
  <c r="F17" i="1"/>
  <c r="H6" i="1"/>
  <c r="H5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F7" i="1"/>
  <c r="D7" i="1"/>
  <c r="D6" i="1"/>
  <c r="G35" i="1"/>
  <c r="G34" i="1"/>
  <c r="C9" i="7"/>
  <c r="C172" i="7"/>
  <c r="G25" i="3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9" i="7"/>
  <c r="D10" i="7"/>
  <c r="D11" i="7"/>
  <c r="C151" i="7"/>
  <c r="C152" i="7"/>
  <c r="C153" i="7"/>
  <c r="C138" i="7"/>
  <c r="C139" i="7"/>
  <c r="C140" i="7"/>
  <c r="C160" i="7"/>
  <c r="W17" i="3"/>
  <c r="G34" i="5"/>
  <c r="G35" i="5" s="1"/>
  <c r="G22" i="5" s="1"/>
  <c r="T15" i="5"/>
  <c r="I15" i="5"/>
  <c r="G15" i="5"/>
  <c r="T14" i="5"/>
  <c r="I14" i="5"/>
  <c r="G14" i="5"/>
  <c r="T13" i="5"/>
  <c r="I13" i="5"/>
  <c r="G13" i="5"/>
  <c r="T12" i="5"/>
  <c r="I12" i="5"/>
  <c r="G12" i="5"/>
  <c r="T11" i="5"/>
  <c r="I11" i="5"/>
  <c r="G11" i="5"/>
  <c r="T10" i="5"/>
  <c r="I10" i="5"/>
  <c r="G10" i="5"/>
  <c r="T9" i="5"/>
  <c r="I9" i="5"/>
  <c r="G9" i="5"/>
  <c r="T8" i="5"/>
  <c r="I8" i="5"/>
  <c r="G8" i="5"/>
  <c r="T7" i="5"/>
  <c r="I7" i="5"/>
  <c r="G7" i="5"/>
  <c r="T6" i="5"/>
  <c r="I6" i="5"/>
  <c r="G6" i="5"/>
  <c r="T5" i="5"/>
  <c r="I5" i="5"/>
  <c r="G5" i="5"/>
  <c r="T4" i="5"/>
  <c r="I4" i="5"/>
  <c r="G4" i="5"/>
  <c r="F4" i="5"/>
  <c r="D4" i="5"/>
  <c r="D5" i="5" s="1"/>
  <c r="D6" i="5" s="1"/>
  <c r="D7" i="5" s="1"/>
  <c r="D8" i="5" s="1"/>
  <c r="D9" i="5" s="1"/>
  <c r="D10" i="5" s="1"/>
  <c r="D11" i="5" s="1"/>
  <c r="D12" i="5" s="1"/>
  <c r="D13" i="5" s="1"/>
  <c r="D14" i="5" s="1"/>
  <c r="D15" i="5" s="1"/>
  <c r="Z5" i="3"/>
  <c r="Z6" i="3"/>
  <c r="Z7" i="3"/>
  <c r="Z8" i="3"/>
  <c r="Z9" i="3"/>
  <c r="Z10" i="3"/>
  <c r="Z11" i="3"/>
  <c r="Z12" i="3"/>
  <c r="Z13" i="3"/>
  <c r="Z14" i="3"/>
  <c r="Z15" i="3"/>
  <c r="Z4" i="3"/>
  <c r="U4" i="2"/>
  <c r="V4" i="3"/>
  <c r="C110" i="7" l="1"/>
  <c r="C123" i="7"/>
  <c r="C163" i="7"/>
  <c r="C149" i="7"/>
  <c r="C129" i="7"/>
  <c r="C166" i="7"/>
  <c r="C115" i="7"/>
  <c r="C127" i="7"/>
  <c r="C165" i="7"/>
  <c r="C137" i="7"/>
  <c r="C116" i="7"/>
  <c r="C113" i="7"/>
  <c r="C124" i="7"/>
  <c r="C164" i="7"/>
  <c r="C109" i="7"/>
  <c r="C146" i="7"/>
  <c r="C121" i="7"/>
  <c r="C135" i="7"/>
  <c r="C158" i="7"/>
  <c r="C108" i="7"/>
  <c r="C145" i="7"/>
  <c r="C118" i="7"/>
  <c r="C107" i="7"/>
  <c r="C131" i="7"/>
  <c r="C157" i="7"/>
  <c r="C144" i="7"/>
  <c r="C122" i="7"/>
  <c r="C105" i="7"/>
  <c r="C132" i="7"/>
  <c r="C117" i="7"/>
  <c r="C143" i="7"/>
  <c r="C130" i="7"/>
  <c r="C154" i="7"/>
  <c r="C171" i="7"/>
  <c r="C169" i="7"/>
  <c r="C119" i="7"/>
  <c r="C111" i="7"/>
  <c r="C141" i="7"/>
  <c r="C133" i="7"/>
  <c r="C125" i="7"/>
  <c r="C155" i="7"/>
  <c r="C147" i="7"/>
  <c r="C167" i="7"/>
  <c r="C159" i="7"/>
  <c r="C114" i="7"/>
  <c r="C106" i="7"/>
  <c r="C136" i="7"/>
  <c r="C128" i="7"/>
  <c r="C120" i="7"/>
  <c r="C150" i="7"/>
  <c r="C170" i="7"/>
  <c r="C162" i="7"/>
  <c r="C161" i="7"/>
  <c r="C104" i="7"/>
  <c r="C112" i="7"/>
  <c r="C142" i="7"/>
  <c r="C134" i="7"/>
  <c r="C126" i="7"/>
  <c r="C156" i="7"/>
  <c r="C148" i="7"/>
  <c r="C168" i="7"/>
  <c r="C10" i="7"/>
  <c r="C11" i="7"/>
  <c r="C19" i="7"/>
  <c r="C27" i="7"/>
  <c r="C35" i="7"/>
  <c r="C43" i="7"/>
  <c r="C51" i="7"/>
  <c r="C59" i="7"/>
  <c r="C67" i="7"/>
  <c r="C75" i="7"/>
  <c r="C83" i="7"/>
  <c r="C91" i="7"/>
  <c r="C99" i="7"/>
  <c r="C20" i="7"/>
  <c r="C28" i="7"/>
  <c r="C36" i="7"/>
  <c r="C44" i="7"/>
  <c r="C52" i="7"/>
  <c r="C60" i="7"/>
  <c r="C68" i="7"/>
  <c r="C76" i="7"/>
  <c r="C84" i="7"/>
  <c r="C92" i="7"/>
  <c r="C100" i="7"/>
  <c r="C21" i="7"/>
  <c r="C29" i="7"/>
  <c r="C37" i="7"/>
  <c r="C45" i="7"/>
  <c r="C53" i="7"/>
  <c r="C61" i="7"/>
  <c r="C69" i="7"/>
  <c r="C77" i="7"/>
  <c r="C85" i="7"/>
  <c r="C93" i="7"/>
  <c r="C101" i="7"/>
  <c r="C22" i="7"/>
  <c r="C30" i="7"/>
  <c r="C38" i="7"/>
  <c r="C46" i="7"/>
  <c r="C54" i="7"/>
  <c r="C62" i="7"/>
  <c r="C70" i="7"/>
  <c r="C78" i="7"/>
  <c r="C86" i="7"/>
  <c r="C94" i="7"/>
  <c r="C102" i="7"/>
  <c r="C12" i="7"/>
  <c r="C13" i="7"/>
  <c r="C14" i="7"/>
  <c r="C15" i="7"/>
  <c r="C23" i="7"/>
  <c r="C31" i="7"/>
  <c r="C39" i="7"/>
  <c r="C47" i="7"/>
  <c r="C55" i="7"/>
  <c r="C63" i="7"/>
  <c r="C71" i="7"/>
  <c r="C79" i="7"/>
  <c r="C87" i="7"/>
  <c r="C95" i="7"/>
  <c r="C103" i="7"/>
  <c r="C24" i="7"/>
  <c r="C32" i="7"/>
  <c r="C40" i="7"/>
  <c r="C48" i="7"/>
  <c r="C56" i="7"/>
  <c r="C64" i="7"/>
  <c r="C72" i="7"/>
  <c r="C80" i="7"/>
  <c r="C88" i="7"/>
  <c r="C96" i="7"/>
  <c r="C17" i="7"/>
  <c r="C25" i="7"/>
  <c r="C33" i="7"/>
  <c r="C41" i="7"/>
  <c r="C49" i="7"/>
  <c r="C57" i="7"/>
  <c r="C65" i="7"/>
  <c r="C73" i="7"/>
  <c r="C81" i="7"/>
  <c r="C89" i="7"/>
  <c r="C97" i="7"/>
  <c r="C18" i="7"/>
  <c r="C26" i="7"/>
  <c r="C34" i="7"/>
  <c r="C42" i="7"/>
  <c r="C50" i="7"/>
  <c r="C58" i="7"/>
  <c r="C66" i="7"/>
  <c r="C74" i="7"/>
  <c r="C82" i="7"/>
  <c r="C90" i="7"/>
  <c r="C98" i="7"/>
  <c r="C16" i="7"/>
  <c r="H4" i="5"/>
  <c r="F5" i="5"/>
  <c r="F6" i="5" s="1"/>
  <c r="F7" i="5" s="1"/>
  <c r="H5" i="5" l="1"/>
  <c r="H6" i="5"/>
  <c r="F8" i="5"/>
  <c r="H7" i="5"/>
  <c r="F9" i="5" l="1"/>
  <c r="H8" i="5"/>
  <c r="H9" i="5" l="1"/>
  <c r="F10" i="5"/>
  <c r="H10" i="5" l="1"/>
  <c r="F11" i="5"/>
  <c r="F12" i="5" l="1"/>
  <c r="H11" i="5"/>
  <c r="F13" i="5" l="1"/>
  <c r="H12" i="5"/>
  <c r="F14" i="5" l="1"/>
  <c r="H13" i="5"/>
  <c r="F15" i="5" l="1"/>
  <c r="H15" i="5" s="1"/>
  <c r="H14" i="5"/>
  <c r="G17" i="5" l="1"/>
  <c r="F17" i="5"/>
  <c r="J14" i="5" l="1"/>
  <c r="J10" i="5"/>
  <c r="J6" i="5"/>
  <c r="J9" i="5"/>
  <c r="J8" i="5"/>
  <c r="J4" i="5"/>
  <c r="K4" i="5" s="1"/>
  <c r="L4" i="5" s="1"/>
  <c r="J5" i="5"/>
  <c r="J7" i="5"/>
  <c r="J13" i="5"/>
  <c r="J12" i="5"/>
  <c r="J11" i="5"/>
  <c r="J15" i="5"/>
  <c r="K5" i="5" l="1"/>
  <c r="L5" i="5" s="1"/>
  <c r="M5" i="5" s="1"/>
  <c r="M4" i="5"/>
  <c r="K6" i="5" l="1"/>
  <c r="L6" i="5" l="1"/>
  <c r="K7" i="5"/>
  <c r="L7" i="5" l="1"/>
  <c r="K8" i="5"/>
  <c r="M6" i="5"/>
  <c r="L8" i="5" l="1"/>
  <c r="K9" i="5"/>
  <c r="M7" i="5"/>
  <c r="L9" i="5" l="1"/>
  <c r="K10" i="5"/>
  <c r="M8" i="5"/>
  <c r="K11" i="5" l="1"/>
  <c r="L10" i="5"/>
  <c r="M9" i="5"/>
  <c r="M10" i="5" l="1"/>
  <c r="L11" i="5"/>
  <c r="K12" i="5"/>
  <c r="L12" i="5" l="1"/>
  <c r="K13" i="5"/>
  <c r="M11" i="5"/>
  <c r="L13" i="5" l="1"/>
  <c r="K14" i="5"/>
  <c r="M12" i="5"/>
  <c r="L14" i="5" l="1"/>
  <c r="K15" i="5"/>
  <c r="L15" i="5" s="1"/>
  <c r="M13" i="5"/>
  <c r="M15" i="5" l="1"/>
  <c r="M14" i="5"/>
  <c r="M17" i="5" s="1"/>
  <c r="H17" i="5" s="1"/>
  <c r="F18" i="5" l="1"/>
  <c r="N9" i="5"/>
  <c r="R9" i="5" s="1" a="1"/>
  <c r="R9" i="5" s="1"/>
  <c r="N10" i="5"/>
  <c r="R10" i="5" s="1" a="1"/>
  <c r="R10" i="5" s="1"/>
  <c r="N11" i="5"/>
  <c r="R11" i="5" s="1" a="1"/>
  <c r="R11" i="5" s="1"/>
  <c r="N12" i="5"/>
  <c r="R12" i="5" s="1" a="1"/>
  <c r="R12" i="5" s="1"/>
  <c r="N13" i="5"/>
  <c r="R13" i="5" s="1" a="1"/>
  <c r="R13" i="5" s="1"/>
  <c r="N6" i="5"/>
  <c r="R6" i="5" s="1" a="1"/>
  <c r="R6" i="5" s="1"/>
  <c r="N14" i="5"/>
  <c r="R14" i="5" s="1" a="1"/>
  <c r="R14" i="5" s="1"/>
  <c r="N7" i="5"/>
  <c r="R7" i="5" s="1" a="1"/>
  <c r="R7" i="5" s="1"/>
  <c r="N15" i="5"/>
  <c r="R15" i="5" s="1" a="1"/>
  <c r="R15" i="5" s="1"/>
  <c r="N8" i="5"/>
  <c r="R8" i="5" s="1" a="1"/>
  <c r="R8" i="5" s="1"/>
  <c r="N4" i="5"/>
  <c r="R4" i="5" s="1" a="1"/>
  <c r="R4" i="5" s="1"/>
  <c r="N5" i="5"/>
  <c r="R5" i="5" s="1" a="1"/>
  <c r="R5" i="5" s="1"/>
  <c r="O4" i="5" l="1"/>
  <c r="P4" i="5" l="1"/>
  <c r="O5" i="5"/>
  <c r="P5" i="5" l="1"/>
  <c r="O6" i="5"/>
  <c r="S4" i="5"/>
  <c r="Q4" i="5"/>
  <c r="P6" i="5" l="1"/>
  <c r="O7" i="5"/>
  <c r="S5" i="5"/>
  <c r="Q5" i="5"/>
  <c r="Q6" i="5" l="1"/>
  <c r="S6" i="5"/>
  <c r="P7" i="5"/>
  <c r="O8" i="5"/>
  <c r="O9" i="5" l="1"/>
  <c r="P8" i="5"/>
  <c r="S7" i="5"/>
  <c r="Q7" i="5"/>
  <c r="O10" i="5" l="1"/>
  <c r="P9" i="5"/>
  <c r="S8" i="5"/>
  <c r="Q8" i="5"/>
  <c r="S9" i="5" l="1"/>
  <c r="Q9" i="5"/>
  <c r="O11" i="5"/>
  <c r="P10" i="5"/>
  <c r="Q10" i="5" l="1"/>
  <c r="S10" i="5"/>
  <c r="P11" i="5"/>
  <c r="O12" i="5"/>
  <c r="P12" i="5" l="1"/>
  <c r="O13" i="5"/>
  <c r="S11" i="5"/>
  <c r="Q11" i="5"/>
  <c r="P13" i="5" l="1"/>
  <c r="O14" i="5"/>
  <c r="S12" i="5"/>
  <c r="Q12" i="5"/>
  <c r="O15" i="5" l="1"/>
  <c r="P15" i="5" s="1"/>
  <c r="P14" i="5"/>
  <c r="S13" i="5"/>
  <c r="Q13" i="5"/>
  <c r="P17" i="5" l="1"/>
  <c r="T18" i="5" s="1"/>
  <c r="S23" i="5" s="1"/>
  <c r="O23" i="5"/>
  <c r="Q23" i="5" s="1"/>
  <c r="Q14" i="5"/>
  <c r="S14" i="5"/>
  <c r="S15" i="5"/>
  <c r="Q15" i="5"/>
  <c r="T17" i="5" l="1"/>
  <c r="Q24" i="5"/>
  <c r="Q32" i="5"/>
  <c r="Q40" i="5"/>
  <c r="Q45" i="5"/>
  <c r="Q25" i="5"/>
  <c r="Q33" i="5"/>
  <c r="Q41" i="5"/>
  <c r="Q50" i="5"/>
  <c r="Q46" i="5"/>
  <c r="Q26" i="5"/>
  <c r="Q34" i="5"/>
  <c r="Q42" i="5"/>
  <c r="Q51" i="5"/>
  <c r="Q47" i="5"/>
  <c r="Q27" i="5"/>
  <c r="Q35" i="5"/>
  <c r="Q43" i="5"/>
  <c r="Q28" i="5"/>
  <c r="Q53" i="5"/>
  <c r="Q49" i="5"/>
  <c r="Q37" i="5"/>
  <c r="Q54" i="5"/>
  <c r="Q44" i="5"/>
  <c r="Q30" i="5"/>
  <c r="Q38" i="5"/>
  <c r="Q31" i="5"/>
  <c r="Q39" i="5"/>
  <c r="Q52" i="5"/>
  <c r="Q48" i="5"/>
  <c r="Q36" i="5"/>
  <c r="Q29" i="5"/>
  <c r="R41" i="5" l="1"/>
  <c r="R29" i="5"/>
  <c r="T29" i="5" s="1"/>
  <c r="R25" i="5"/>
  <c r="T25" i="5" s="1"/>
  <c r="R39" i="5"/>
  <c r="T39" i="5" s="1"/>
  <c r="R42" i="5"/>
  <c r="T42" i="5" s="1"/>
  <c r="R44" i="5"/>
  <c r="T44" i="5" s="1"/>
  <c r="R35" i="5"/>
  <c r="T35" i="5" s="1"/>
  <c r="R36" i="5"/>
  <c r="T36" i="5" s="1"/>
  <c r="R27" i="5"/>
  <c r="T27" i="5" s="1"/>
  <c r="R37" i="5"/>
  <c r="T37" i="5" s="1"/>
  <c r="R33" i="5"/>
  <c r="T33" i="5" s="1"/>
  <c r="R31" i="5"/>
  <c r="T31" i="5" s="1"/>
  <c r="R40" i="5"/>
  <c r="T40" i="5" s="1"/>
  <c r="T19" i="5"/>
  <c r="R53" i="5"/>
  <c r="T53" i="5" s="1"/>
  <c r="R49" i="5"/>
  <c r="T49" i="5" s="1"/>
  <c r="R54" i="5"/>
  <c r="T54" i="5" s="1"/>
  <c r="R45" i="5"/>
  <c r="T45" i="5" s="1"/>
  <c r="R51" i="5"/>
  <c r="T51" i="5" s="1"/>
  <c r="R47" i="5"/>
  <c r="T47" i="5" s="1"/>
  <c r="R52" i="5"/>
  <c r="T52" i="5" s="1"/>
  <c r="R48" i="5"/>
  <c r="T48" i="5" s="1"/>
  <c r="R50" i="5"/>
  <c r="T50" i="5" s="1"/>
  <c r="R46" i="5"/>
  <c r="T46" i="5" s="1"/>
  <c r="R28" i="5"/>
  <c r="T28" i="5" s="1"/>
  <c r="R26" i="5"/>
  <c r="T26" i="5" s="1"/>
  <c r="R32" i="5"/>
  <c r="T32" i="5" s="1"/>
  <c r="R23" i="5"/>
  <c r="T23" i="5" s="1"/>
  <c r="R34" i="5"/>
  <c r="T34" i="5" s="1"/>
  <c r="R38" i="5"/>
  <c r="T38" i="5" s="1"/>
  <c r="T41" i="5"/>
  <c r="R30" i="5"/>
  <c r="T30" i="5" s="1"/>
  <c r="R43" i="5"/>
  <c r="T43" i="5" s="1"/>
  <c r="R24" i="5"/>
  <c r="T24" i="5" s="1"/>
  <c r="P5" i="1"/>
  <c r="P6" i="1"/>
  <c r="P7" i="1"/>
  <c r="P8" i="1"/>
  <c r="P9" i="1"/>
  <c r="P10" i="1"/>
  <c r="P11" i="1"/>
  <c r="P12" i="1"/>
  <c r="P13" i="1"/>
  <c r="P14" i="1"/>
  <c r="P15" i="1"/>
  <c r="P4" i="1"/>
  <c r="U15" i="2"/>
  <c r="U14" i="2"/>
  <c r="U13" i="2"/>
  <c r="U12" i="2"/>
  <c r="U11" i="2"/>
  <c r="U10" i="2"/>
  <c r="U9" i="2"/>
  <c r="U8" i="2"/>
  <c r="U7" i="2"/>
  <c r="U6" i="2"/>
  <c r="U5" i="2"/>
  <c r="G5" i="3"/>
  <c r="G6" i="3"/>
  <c r="G7" i="3"/>
  <c r="G8" i="3"/>
  <c r="G9" i="3"/>
  <c r="G10" i="3"/>
  <c r="G11" i="3"/>
  <c r="G12" i="3"/>
  <c r="G13" i="3"/>
  <c r="G14" i="3"/>
  <c r="G15" i="3"/>
  <c r="G4" i="3"/>
  <c r="G5" i="2"/>
  <c r="G6" i="2"/>
  <c r="G7" i="2"/>
  <c r="G8" i="2"/>
  <c r="G9" i="2"/>
  <c r="G10" i="2"/>
  <c r="G11" i="2"/>
  <c r="G12" i="2"/>
  <c r="G13" i="2"/>
  <c r="G14" i="2"/>
  <c r="G15" i="2"/>
  <c r="G4" i="2"/>
  <c r="G37" i="3"/>
  <c r="G38" i="3" s="1"/>
  <c r="G23" i="3" s="1"/>
  <c r="G34" i="2"/>
  <c r="G35" i="2" s="1"/>
  <c r="G22" i="2" s="1"/>
  <c r="S15" i="3" l="1"/>
  <c r="J15" i="3"/>
  <c r="J14" i="3"/>
  <c r="J13" i="3"/>
  <c r="J12" i="3"/>
  <c r="J11" i="3"/>
  <c r="J10" i="3"/>
  <c r="J9" i="3"/>
  <c r="J8" i="3"/>
  <c r="J7" i="3"/>
  <c r="J6" i="3"/>
  <c r="J5" i="3"/>
  <c r="F4" i="3"/>
  <c r="D4" i="3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I15" i="2"/>
  <c r="I14" i="2"/>
  <c r="I13" i="2"/>
  <c r="I12" i="2"/>
  <c r="I11" i="2"/>
  <c r="I10" i="2"/>
  <c r="I9" i="2"/>
  <c r="I8" i="2"/>
  <c r="I7" i="2"/>
  <c r="I6" i="2"/>
  <c r="I5" i="2"/>
  <c r="I4" i="2"/>
  <c r="F4" i="2"/>
  <c r="D4" i="2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H4" i="3" l="1"/>
  <c r="F5" i="3"/>
  <c r="H5" i="3" s="1"/>
  <c r="H4" i="2"/>
  <c r="F5" i="2"/>
  <c r="F6" i="3" l="1"/>
  <c r="H6" i="3" s="1"/>
  <c r="H5" i="2"/>
  <c r="F6" i="2"/>
  <c r="I15" i="1"/>
  <c r="I14" i="1"/>
  <c r="I13" i="1"/>
  <c r="I12" i="1"/>
  <c r="I11" i="1"/>
  <c r="I10" i="1"/>
  <c r="I9" i="1"/>
  <c r="I8" i="1"/>
  <c r="I7" i="1"/>
  <c r="I6" i="1"/>
  <c r="F4" i="1"/>
  <c r="D4" i="1"/>
  <c r="D5" i="1" s="1"/>
  <c r="D8" i="1" s="1"/>
  <c r="D9" i="1" s="1"/>
  <c r="D10" i="1" s="1"/>
  <c r="D11" i="1" s="1"/>
  <c r="D12" i="1" s="1"/>
  <c r="D13" i="1" s="1"/>
  <c r="D14" i="1" s="1"/>
  <c r="D15" i="1" s="1"/>
  <c r="M4" i="3" l="1"/>
  <c r="L4" i="3"/>
  <c r="W4" i="3" s="1"/>
  <c r="K5" i="3"/>
  <c r="F7" i="3"/>
  <c r="H7" i="3" s="1"/>
  <c r="I6" i="3"/>
  <c r="F7" i="2"/>
  <c r="H6" i="2"/>
  <c r="F5" i="1"/>
  <c r="N4" i="3" l="1"/>
  <c r="L5" i="3"/>
  <c r="M5" i="3"/>
  <c r="K6" i="3"/>
  <c r="F8" i="3"/>
  <c r="H8" i="3" s="1"/>
  <c r="I7" i="3"/>
  <c r="F8" i="2"/>
  <c r="H7" i="2"/>
  <c r="F6" i="1"/>
  <c r="W5" i="3" l="1"/>
  <c r="K7" i="3"/>
  <c r="N5" i="3"/>
  <c r="L6" i="3"/>
  <c r="M6" i="3"/>
  <c r="F9" i="3"/>
  <c r="H9" i="3" s="1"/>
  <c r="I8" i="3"/>
  <c r="F9" i="2"/>
  <c r="H8" i="2"/>
  <c r="W6" i="3" l="1"/>
  <c r="N6" i="3"/>
  <c r="L7" i="3"/>
  <c r="W7" i="3" s="1"/>
  <c r="K8" i="3"/>
  <c r="F10" i="3"/>
  <c r="H10" i="3" s="1"/>
  <c r="I9" i="3"/>
  <c r="F10" i="2"/>
  <c r="H9" i="2"/>
  <c r="F8" i="1"/>
  <c r="H7" i="1"/>
  <c r="N7" i="3" l="1"/>
  <c r="L8" i="3"/>
  <c r="M8" i="3"/>
  <c r="K9" i="3"/>
  <c r="I10" i="3"/>
  <c r="F11" i="3"/>
  <c r="H11" i="3" s="1"/>
  <c r="H10" i="2"/>
  <c r="F11" i="2"/>
  <c r="F9" i="1"/>
  <c r="H8" i="1"/>
  <c r="W8" i="3" l="1"/>
  <c r="L9" i="3"/>
  <c r="M9" i="3"/>
  <c r="K10" i="3"/>
  <c r="F12" i="3"/>
  <c r="H12" i="3" s="1"/>
  <c r="I11" i="3"/>
  <c r="F12" i="2"/>
  <c r="H11" i="2"/>
  <c r="F10" i="1"/>
  <c r="H9" i="1"/>
  <c r="W9" i="3" l="1"/>
  <c r="N9" i="3"/>
  <c r="L10" i="3"/>
  <c r="M10" i="3"/>
  <c r="K11" i="3"/>
  <c r="I12" i="3"/>
  <c r="F13" i="3"/>
  <c r="H13" i="3" s="1"/>
  <c r="H12" i="2"/>
  <c r="F13" i="2"/>
  <c r="F11" i="1"/>
  <c r="H10" i="1"/>
  <c r="W10" i="3" l="1"/>
  <c r="N10" i="3"/>
  <c r="L11" i="3"/>
  <c r="M11" i="3"/>
  <c r="K12" i="3"/>
  <c r="M12" i="3" s="1"/>
  <c r="I13" i="3"/>
  <c r="F14" i="3"/>
  <c r="H14" i="3" s="1"/>
  <c r="H13" i="2"/>
  <c r="F14" i="2"/>
  <c r="F12" i="1"/>
  <c r="H11" i="1"/>
  <c r="W11" i="3" l="1"/>
  <c r="N11" i="3"/>
  <c r="L12" i="3"/>
  <c r="W12" i="3" s="1"/>
  <c r="K13" i="3"/>
  <c r="I14" i="3"/>
  <c r="F15" i="3"/>
  <c r="H15" i="3" s="1"/>
  <c r="F18" i="3" s="1"/>
  <c r="H14" i="2"/>
  <c r="F15" i="2"/>
  <c r="H15" i="2" s="1"/>
  <c r="F13" i="1"/>
  <c r="H12" i="1"/>
  <c r="G17" i="2" l="1"/>
  <c r="N12" i="3"/>
  <c r="L13" i="3"/>
  <c r="M13" i="3"/>
  <c r="K14" i="3"/>
  <c r="G18" i="3"/>
  <c r="I15" i="3"/>
  <c r="F14" i="1"/>
  <c r="H13" i="1"/>
  <c r="W13" i="3" l="1"/>
  <c r="N13" i="3"/>
  <c r="L14" i="3"/>
  <c r="M14" i="3"/>
  <c r="K15" i="3"/>
  <c r="J12" i="2"/>
  <c r="J9" i="2"/>
  <c r="J7" i="2"/>
  <c r="J14" i="2"/>
  <c r="J10" i="2"/>
  <c r="J5" i="2"/>
  <c r="J15" i="2"/>
  <c r="J11" i="2"/>
  <c r="J6" i="2"/>
  <c r="J8" i="2"/>
  <c r="J13" i="2"/>
  <c r="J4" i="2"/>
  <c r="K4" i="2" s="1"/>
  <c r="F15" i="1"/>
  <c r="H15" i="1" s="1"/>
  <c r="H14" i="1"/>
  <c r="J10" i="1" l="1"/>
  <c r="N10" i="1" s="1" a="1"/>
  <c r="N10" i="1" s="1"/>
  <c r="J11" i="1"/>
  <c r="N11" i="1" s="1" a="1"/>
  <c r="N11" i="1" s="1"/>
  <c r="J12" i="1"/>
  <c r="N12" i="1" s="1" a="1"/>
  <c r="N12" i="1" s="1"/>
  <c r="J14" i="1"/>
  <c r="N14" i="1" s="1" a="1"/>
  <c r="N14" i="1" s="1"/>
  <c r="N5" i="1" a="1"/>
  <c r="N5" i="1" s="1"/>
  <c r="J13" i="1"/>
  <c r="N13" i="1" s="1" a="1"/>
  <c r="N13" i="1" s="1"/>
  <c r="N6" i="1" a="1"/>
  <c r="N6" i="1" s="1"/>
  <c r="J8" i="1"/>
  <c r="N8" i="1" s="1" a="1"/>
  <c r="N8" i="1" s="1"/>
  <c r="J9" i="1"/>
  <c r="N9" i="1" s="1" a="1"/>
  <c r="N9" i="1" s="1"/>
  <c r="N7" i="1" a="1"/>
  <c r="N7" i="1" s="1"/>
  <c r="J15" i="1"/>
  <c r="N15" i="1" s="1" a="1"/>
  <c r="N15" i="1" s="1"/>
  <c r="W14" i="3"/>
  <c r="N14" i="3"/>
  <c r="N17" i="3" s="1"/>
  <c r="O4" i="3" s="1"/>
  <c r="P4" i="3" s="1"/>
  <c r="X4" i="3" s="1" a="1"/>
  <c r="X4" i="3" s="1"/>
  <c r="L15" i="3"/>
  <c r="M15" i="3"/>
  <c r="R4" i="3" l="1"/>
  <c r="W15" i="3"/>
  <c r="N15" i="3"/>
  <c r="O5" i="3"/>
  <c r="P5" i="3" s="1"/>
  <c r="X5" i="3" s="1" a="1"/>
  <c r="X5" i="3" s="1"/>
  <c r="K5" i="2"/>
  <c r="K6" i="2" s="1"/>
  <c r="K7" i="2" s="1"/>
  <c r="K8" i="2" s="1"/>
  <c r="K9" i="2" s="1"/>
  <c r="K10" i="2" s="1"/>
  <c r="K11" i="2" s="1"/>
  <c r="K12" i="2" s="1"/>
  <c r="K13" i="2" s="1"/>
  <c r="K14" i="2" s="1"/>
  <c r="K15" i="2" s="1"/>
  <c r="L4" i="2"/>
  <c r="M4" i="2" l="1"/>
  <c r="N4" i="2"/>
  <c r="L5" i="2"/>
  <c r="M5" i="2" s="1"/>
  <c r="Q5" i="3"/>
  <c r="O6" i="3"/>
  <c r="P6" i="3" s="1"/>
  <c r="X6" i="3" s="1" a="1"/>
  <c r="X6" i="3" s="1"/>
  <c r="L7" i="2"/>
  <c r="M7" i="2" s="1"/>
  <c r="L6" i="2"/>
  <c r="N6" i="2" s="1"/>
  <c r="N5" i="2"/>
  <c r="L8" i="2"/>
  <c r="M8" i="2" s="1"/>
  <c r="Q6" i="3" l="1"/>
  <c r="O7" i="3"/>
  <c r="P7" i="3" s="1"/>
  <c r="X7" i="3" s="1" a="1"/>
  <c r="X7" i="3" s="1"/>
  <c r="M6" i="2"/>
  <c r="K5" i="1"/>
  <c r="L5" i="1" s="1"/>
  <c r="L9" i="2"/>
  <c r="M9" i="2" s="1"/>
  <c r="N7" i="2"/>
  <c r="B7" i="6" l="1"/>
  <c r="Q7" i="3"/>
  <c r="O8" i="3"/>
  <c r="P8" i="3" s="1"/>
  <c r="X8" i="3" s="1" a="1"/>
  <c r="X8" i="3" s="1"/>
  <c r="M5" i="1"/>
  <c r="O5" i="1"/>
  <c r="K6" i="1"/>
  <c r="L6" i="1" s="1"/>
  <c r="L10" i="2"/>
  <c r="M10" i="2" s="1"/>
  <c r="N8" i="2"/>
  <c r="B8" i="6" l="1"/>
  <c r="Q8" i="3"/>
  <c r="O9" i="3"/>
  <c r="M6" i="1"/>
  <c r="O6" i="1"/>
  <c r="K7" i="1"/>
  <c r="K8" i="1" s="1"/>
  <c r="K9" i="1" s="1"/>
  <c r="L11" i="2"/>
  <c r="M11" i="2" s="1"/>
  <c r="N9" i="2"/>
  <c r="Q6" i="1" l="1"/>
  <c r="B9" i="6" s="1"/>
  <c r="O10" i="3"/>
  <c r="P9" i="3"/>
  <c r="X9" i="3" s="1" a="1"/>
  <c r="X9" i="3" s="1"/>
  <c r="L8" i="1"/>
  <c r="O8" i="1" s="1"/>
  <c r="L7" i="1"/>
  <c r="L12" i="2"/>
  <c r="M12" i="2" s="1"/>
  <c r="N10" i="2"/>
  <c r="K10" i="1"/>
  <c r="L9" i="1"/>
  <c r="O9" i="1" s="1"/>
  <c r="Q9" i="3" l="1"/>
  <c r="O11" i="3"/>
  <c r="P10" i="3"/>
  <c r="X10" i="3" s="1" a="1"/>
  <c r="X10" i="3" s="1"/>
  <c r="M8" i="1"/>
  <c r="Q8" i="1" s="1"/>
  <c r="B11" i="6" s="1"/>
  <c r="M7" i="1"/>
  <c r="O7" i="1"/>
  <c r="L13" i="2"/>
  <c r="M13" i="2" s="1"/>
  <c r="N11" i="2"/>
  <c r="M9" i="1"/>
  <c r="Q9" i="1" s="1"/>
  <c r="B12" i="6" s="1"/>
  <c r="K11" i="1"/>
  <c r="L10" i="1"/>
  <c r="O10" i="1" s="1"/>
  <c r="Q7" i="1" l="1"/>
  <c r="B10" i="6" s="1"/>
  <c r="Q10" i="3"/>
  <c r="O12" i="3"/>
  <c r="P11" i="3"/>
  <c r="X11" i="3" s="1" a="1"/>
  <c r="X11" i="3" s="1"/>
  <c r="L14" i="2"/>
  <c r="M14" i="2" s="1"/>
  <c r="N12" i="2"/>
  <c r="K12" i="1"/>
  <c r="L11" i="1"/>
  <c r="O11" i="1" s="1"/>
  <c r="M10" i="1"/>
  <c r="Q10" i="1" s="1"/>
  <c r="B13" i="6" s="1"/>
  <c r="Q11" i="3" l="1"/>
  <c r="O13" i="3"/>
  <c r="P12" i="3"/>
  <c r="X12" i="3" s="1" a="1"/>
  <c r="X12" i="3" s="1"/>
  <c r="L15" i="2"/>
  <c r="M15" i="2" s="1"/>
  <c r="N13" i="2"/>
  <c r="M11" i="1"/>
  <c r="Q11" i="1" s="1"/>
  <c r="B14" i="6" s="1"/>
  <c r="K13" i="1"/>
  <c r="L12" i="1"/>
  <c r="O12" i="1" s="1"/>
  <c r="Q12" i="3" l="1"/>
  <c r="O14" i="3"/>
  <c r="P13" i="3"/>
  <c r="X13" i="3" s="1" a="1"/>
  <c r="X13" i="3" s="1"/>
  <c r="N15" i="2"/>
  <c r="N14" i="2"/>
  <c r="K14" i="1"/>
  <c r="L13" i="1"/>
  <c r="O13" i="1" s="1"/>
  <c r="M12" i="1"/>
  <c r="Q12" i="1" s="1"/>
  <c r="B15" i="6" s="1"/>
  <c r="Q13" i="3" l="1"/>
  <c r="O15" i="3"/>
  <c r="P15" i="3" s="1"/>
  <c r="X15" i="3" s="1" a="1"/>
  <c r="X15" i="3" s="1"/>
  <c r="P14" i="3"/>
  <c r="X14" i="3" s="1" a="1"/>
  <c r="X14" i="3" s="1"/>
  <c r="N17" i="2"/>
  <c r="M13" i="1"/>
  <c r="Q13" i="1" s="1"/>
  <c r="B16" i="6" s="1"/>
  <c r="L15" i="1"/>
  <c r="L14" i="1"/>
  <c r="O14" i="1" s="1"/>
  <c r="L17" i="1" l="1"/>
  <c r="Q14" i="3"/>
  <c r="Q15" i="3" s="1"/>
  <c r="O15" i="1"/>
  <c r="M15" i="1"/>
  <c r="M14" i="1"/>
  <c r="Q14" i="1" s="1"/>
  <c r="B17" i="6" s="1"/>
  <c r="Q15" i="1" l="1"/>
  <c r="B18" i="6" s="1"/>
  <c r="O10" i="2"/>
  <c r="S10" i="2" s="1" a="1"/>
  <c r="S10" i="2" s="1"/>
  <c r="O12" i="2"/>
  <c r="S12" i="2" s="1" a="1"/>
  <c r="S12" i="2" s="1"/>
  <c r="O6" i="2"/>
  <c r="S6" i="2" s="1" a="1"/>
  <c r="S6" i="2" s="1"/>
  <c r="O11" i="2"/>
  <c r="S11" i="2" s="1" a="1"/>
  <c r="S11" i="2" s="1"/>
  <c r="O13" i="2"/>
  <c r="S13" i="2" s="1" a="1"/>
  <c r="S13" i="2" s="1"/>
  <c r="O14" i="2"/>
  <c r="S14" i="2" s="1" a="1"/>
  <c r="S14" i="2" s="1"/>
  <c r="O7" i="2"/>
  <c r="S7" i="2" s="1" a="1"/>
  <c r="S7" i="2" s="1"/>
  <c r="O5" i="2"/>
  <c r="S5" i="2" s="1" a="1"/>
  <c r="S5" i="2" s="1"/>
  <c r="O15" i="2"/>
  <c r="S15" i="2" s="1" a="1"/>
  <c r="S15" i="2" s="1"/>
  <c r="O8" i="2"/>
  <c r="S8" i="2" s="1" a="1"/>
  <c r="S8" i="2" s="1"/>
  <c r="O9" i="2"/>
  <c r="S9" i="2" s="1" a="1"/>
  <c r="S9" i="2" s="1"/>
  <c r="U24" i="5" l="1"/>
  <c r="U28" i="5"/>
  <c r="U32" i="5"/>
  <c r="U36" i="5"/>
  <c r="U40" i="5"/>
  <c r="U44" i="5"/>
  <c r="U48" i="5"/>
  <c r="U52" i="5"/>
  <c r="U34" i="5"/>
  <c r="U37" i="5"/>
  <c r="U25" i="5"/>
  <c r="U29" i="5"/>
  <c r="U33" i="5"/>
  <c r="U41" i="5"/>
  <c r="U45" i="5"/>
  <c r="U49" i="5"/>
  <c r="U53" i="5"/>
  <c r="U30" i="5"/>
  <c r="U26" i="5"/>
  <c r="U38" i="5"/>
  <c r="U42" i="5"/>
  <c r="U46" i="5"/>
  <c r="U50" i="5"/>
  <c r="U54" i="5"/>
  <c r="U31" i="5"/>
  <c r="U39" i="5"/>
  <c r="U43" i="5"/>
  <c r="U47" i="5"/>
  <c r="U51" i="5"/>
  <c r="U23" i="5"/>
  <c r="U35" i="5"/>
  <c r="U27" i="5"/>
  <c r="T4" i="2" l="1"/>
  <c r="V4" i="2" s="1"/>
  <c r="C7" i="6" s="1"/>
  <c r="P5" i="2"/>
  <c r="P6" i="2" s="1"/>
  <c r="Q6" i="2"/>
  <c r="P7" i="2"/>
  <c r="Q5" i="2" l="1"/>
  <c r="R5" i="2" s="1"/>
  <c r="R6" i="2"/>
  <c r="T6" i="2"/>
  <c r="P8" i="2"/>
  <c r="Q7" i="2"/>
  <c r="V6" i="2" l="1"/>
  <c r="C9" i="6" s="1"/>
  <c r="T5" i="2"/>
  <c r="V5" i="2" s="1"/>
  <c r="C8" i="6" s="1"/>
  <c r="R7" i="2"/>
  <c r="T7" i="2"/>
  <c r="P9" i="2"/>
  <c r="Q8" i="2"/>
  <c r="V7" i="2" l="1"/>
  <c r="C10" i="6" s="1"/>
  <c r="R8" i="2"/>
  <c r="T8" i="2"/>
  <c r="P10" i="2"/>
  <c r="Q9" i="2"/>
  <c r="V8" i="2" l="1"/>
  <c r="C11" i="6" s="1"/>
  <c r="T9" i="2"/>
  <c r="R9" i="2"/>
  <c r="P11" i="2"/>
  <c r="Q10" i="2"/>
  <c r="V9" i="2" l="1"/>
  <c r="C12" i="6" s="1"/>
  <c r="R10" i="2"/>
  <c r="T10" i="2"/>
  <c r="P12" i="2"/>
  <c r="Q11" i="2"/>
  <c r="V10" i="2" l="1"/>
  <c r="C13" i="6" s="1"/>
  <c r="R11" i="2"/>
  <c r="T11" i="2"/>
  <c r="P13" i="2"/>
  <c r="Q12" i="2"/>
  <c r="V11" i="2" l="1"/>
  <c r="C14" i="6" s="1"/>
  <c r="R12" i="2"/>
  <c r="T12" i="2"/>
  <c r="P14" i="2"/>
  <c r="Q13" i="2"/>
  <c r="V12" i="2" l="1"/>
  <c r="C15" i="6" s="1"/>
  <c r="T13" i="2"/>
  <c r="R13" i="2"/>
  <c r="P15" i="2"/>
  <c r="Q15" i="2" s="1"/>
  <c r="Q14" i="2"/>
  <c r="V13" i="2" l="1"/>
  <c r="C16" i="6" s="1"/>
  <c r="T18" i="2"/>
  <c r="Q17" i="2"/>
  <c r="R15" i="2"/>
  <c r="T15" i="2"/>
  <c r="R14" i="2"/>
  <c r="T14" i="2"/>
  <c r="V14" i="2" l="1"/>
  <c r="C17" i="6" s="1"/>
  <c r="V15" i="2"/>
  <c r="C18" i="6" s="1"/>
  <c r="T17" i="2"/>
  <c r="T19" i="2" s="1"/>
  <c r="V29" i="5" l="1"/>
  <c r="V37" i="5"/>
  <c r="V45" i="5"/>
  <c r="V53" i="5"/>
  <c r="V33" i="5"/>
  <c r="V42" i="5"/>
  <c r="V35" i="5"/>
  <c r="V30" i="5"/>
  <c r="V38" i="5"/>
  <c r="V46" i="5"/>
  <c r="V54" i="5"/>
  <c r="V24" i="5"/>
  <c r="V32" i="5"/>
  <c r="V40" i="5"/>
  <c r="V41" i="5"/>
  <c r="V50" i="5"/>
  <c r="V43" i="5"/>
  <c r="V31" i="5"/>
  <c r="V39" i="5"/>
  <c r="V47" i="5"/>
  <c r="V23" i="5"/>
  <c r="V48" i="5"/>
  <c r="V25" i="5"/>
  <c r="V49" i="5"/>
  <c r="V34" i="5"/>
  <c r="V27" i="5"/>
  <c r="V28" i="5"/>
  <c r="V36" i="5"/>
  <c r="V44" i="5"/>
  <c r="V52" i="5"/>
  <c r="V26" i="5"/>
  <c r="V51" i="5"/>
  <c r="S6" i="3"/>
  <c r="S9" i="3"/>
  <c r="S10" i="3"/>
  <c r="S13" i="3"/>
  <c r="S14" i="3"/>
  <c r="T15" i="3" s="1"/>
  <c r="V15" i="3" s="1"/>
  <c r="S8" i="3"/>
  <c r="S12" i="3"/>
  <c r="S11" i="3"/>
  <c r="T12" i="3" l="1"/>
  <c r="V12" i="3" s="1"/>
  <c r="T13" i="3"/>
  <c r="V13" i="3" s="1"/>
  <c r="T14" i="3"/>
  <c r="V14" i="3" s="1"/>
  <c r="T11" i="3"/>
  <c r="V11" i="3" s="1"/>
  <c r="T10" i="3"/>
  <c r="V10" i="3" s="1"/>
  <c r="T9" i="3"/>
  <c r="V9" i="3" s="1"/>
  <c r="S5" i="3" l="1"/>
  <c r="T6" i="3" s="1"/>
  <c r="V6" i="3" s="1"/>
  <c r="S4" i="3" l="1"/>
  <c r="T5" i="3" s="1"/>
  <c r="V5" i="3" s="1"/>
  <c r="U4" i="3" l="1"/>
  <c r="Y4" i="3"/>
  <c r="R5" i="3"/>
  <c r="AA4" i="3" l="1"/>
  <c r="D7" i="6" s="1"/>
  <c r="Y5" i="3"/>
  <c r="U5" i="3"/>
  <c r="AA5" i="3" s="1"/>
  <c r="D8" i="6" s="1"/>
  <c r="R6" i="3"/>
  <c r="Y6" i="3" l="1"/>
  <c r="U6" i="3"/>
  <c r="S7" i="3"/>
  <c r="AA6" i="3" l="1"/>
  <c r="D9" i="6" s="1"/>
  <c r="T7" i="3"/>
  <c r="V7" i="3" s="1"/>
  <c r="T8" i="3"/>
  <c r="V8" i="3" s="1"/>
  <c r="R7" i="3" l="1"/>
  <c r="U7" i="3" l="1"/>
  <c r="Y7" i="3"/>
  <c r="R8" i="3"/>
  <c r="AA7" i="3" l="1"/>
  <c r="D10" i="6" s="1"/>
  <c r="U8" i="3"/>
  <c r="Y8" i="3"/>
  <c r="R9" i="3"/>
  <c r="AA8" i="3" l="1"/>
  <c r="D11" i="6" s="1"/>
  <c r="U9" i="3"/>
  <c r="Y9" i="3"/>
  <c r="R10" i="3"/>
  <c r="AA9" i="3" l="1"/>
  <c r="D12" i="6" s="1"/>
  <c r="U10" i="3"/>
  <c r="Y10" i="3"/>
  <c r="R11" i="3"/>
  <c r="AA10" i="3" l="1"/>
  <c r="D13" i="6" s="1"/>
  <c r="Y11" i="3"/>
  <c r="U11" i="3"/>
  <c r="AA11" i="3" s="1"/>
  <c r="D14" i="6" s="1"/>
  <c r="R12" i="3"/>
  <c r="Y12" i="3" l="1"/>
  <c r="U12" i="3"/>
  <c r="R13" i="3"/>
  <c r="AA12" i="3" l="1"/>
  <c r="D15" i="6" s="1"/>
  <c r="Y13" i="3"/>
  <c r="U13" i="3"/>
  <c r="AA13" i="3" s="1"/>
  <c r="D16" i="6" s="1"/>
  <c r="R14" i="3"/>
  <c r="R15" i="3"/>
  <c r="W21" i="3" l="1"/>
  <c r="R17" i="3"/>
  <c r="U15" i="3"/>
  <c r="Y15" i="3"/>
  <c r="Y14" i="3"/>
  <c r="U14" i="3"/>
  <c r="AA14" i="3" s="1"/>
  <c r="D17" i="6" s="1"/>
  <c r="AA15" i="3" l="1"/>
  <c r="D18" i="6" s="1"/>
  <c r="W20" i="3"/>
  <c r="W22" i="3" s="1"/>
  <c r="W23" i="5" s="1"/>
  <c r="W26" i="5" l="1"/>
  <c r="W34" i="5"/>
  <c r="W42" i="5"/>
  <c r="W50" i="5"/>
  <c r="W38" i="5"/>
  <c r="W54" i="5"/>
  <c r="W29" i="5"/>
  <c r="W37" i="5"/>
  <c r="W45" i="5"/>
  <c r="W53" i="5"/>
  <c r="W24" i="5"/>
  <c r="W32" i="5"/>
  <c r="W40" i="5"/>
  <c r="W48" i="5"/>
  <c r="W27" i="5"/>
  <c r="W35" i="5"/>
  <c r="W43" i="5"/>
  <c r="W51" i="5"/>
  <c r="W30" i="5"/>
  <c r="W46" i="5"/>
  <c r="W25" i="5"/>
  <c r="W33" i="5"/>
  <c r="W41" i="5"/>
  <c r="W49" i="5"/>
  <c r="W31" i="5"/>
  <c r="W39" i="5"/>
  <c r="W47" i="5"/>
  <c r="W28" i="5"/>
  <c r="W36" i="5"/>
  <c r="W44" i="5"/>
  <c r="W5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Dimitrios Emiris</author>
  </authors>
  <commentList>
    <comment ref="S15" authorId="0" shapeId="0" xr:uid="{00000000-0006-0000-0200-000001000000}">
      <text>
        <r>
          <rPr>
            <b/>
            <sz val="9"/>
            <color rgb="FF000000"/>
            <rFont val="Tahoma"/>
            <family val="2"/>
          </rPr>
          <t>Dimitrios Emiris: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Προσοχή, εδώ παράγουμε το απόθεμα για τον επόμενο κύκλο, δηλαδή 230 τμχ.</t>
        </r>
      </text>
    </comment>
    <comment ref="M20" authorId="0" shapeId="0" xr:uid="{00000000-0006-0000-0200-000002000000}">
      <text>
        <r>
          <rPr>
            <b/>
            <sz val="9"/>
            <color rgb="FF000000"/>
            <rFont val="Tahoma"/>
            <family val="2"/>
          </rPr>
          <t>Dimitrios Emiris: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Συνολική κάλυψη από μέγιστη παραγωγή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<sst xmlns="http://schemas.openxmlformats.org/spreadsheetml/2006/main" count="374" uniqueCount="107">
  <si>
    <t>Μήνας</t>
  </si>
  <si>
    <t>Ζήτηση</t>
  </si>
  <si>
    <t>Σωρευτική ζήτηση</t>
  </si>
  <si>
    <t>Απόθεμα ασφαλείας</t>
  </si>
  <si>
    <t>Σωρευτικές απαιτήσεις</t>
  </si>
  <si>
    <t>Ζήτηση ανά ημέρα παραγωγής</t>
  </si>
  <si>
    <t>Ημέρες παραγωγής</t>
  </si>
  <si>
    <t>Ημέρες παραγωγής σωρευτικά</t>
  </si>
  <si>
    <t>(1)</t>
  </si>
  <si>
    <t>(2)</t>
  </si>
  <si>
    <t>(4)</t>
  </si>
  <si>
    <t>(7)=(5)+(6)</t>
  </si>
  <si>
    <t>(5)=Σ(4)</t>
  </si>
  <si>
    <t>(3)=Σ(2)</t>
  </si>
  <si>
    <t>Αρχικό απόθεμα (τμχ.)</t>
  </si>
  <si>
    <t>Παραγωγική ικανότητα (τμχ./ημέρα)</t>
  </si>
  <si>
    <t>Κόστος αύξησης παραγωγικής ικανότητας (€/τμχ.)</t>
  </si>
  <si>
    <t>Κόστος αποθεματοποίησης (€/τμχ./μήνα)</t>
  </si>
  <si>
    <t>Κόστος υποαποθέματος (€/τμχ.)</t>
  </si>
  <si>
    <t>Κόστος μεταβολής επιπέδου παραγωγής (€/τμχ.)</t>
  </si>
  <si>
    <t>Ποσοστό αύξησης παραγωγικής ικανότητας</t>
  </si>
  <si>
    <t>Μέση παραγωγή (τμχ./ημέρα)</t>
  </si>
  <si>
    <t>Μηνιαία παραγωγή</t>
  </si>
  <si>
    <t>Διαθέσιμη ποσότητα</t>
  </si>
  <si>
    <t>(9)=(2)*F17</t>
  </si>
  <si>
    <t>(10)=Σ(9)+G25</t>
  </si>
  <si>
    <t>(11)=(10)-(7)</t>
  </si>
  <si>
    <t>Κόστος αποθέματος &amp; υποαποθέματος</t>
  </si>
  <si>
    <t>Αρνητικές διαφορές</t>
  </si>
  <si>
    <t>(8)=(4)/(2)</t>
  </si>
  <si>
    <t>Απαιτήσεις παραγωγής</t>
  </si>
  <si>
    <t>Μέγιστη μηνιαία παραγωγή</t>
  </si>
  <si>
    <t>Διαφορά μέγιστης-απαιτήσεις</t>
  </si>
  <si>
    <t>Αρχική Έλλειψη Προϊόντων</t>
  </si>
  <si>
    <t>Κάλυψη από Υπερωριακή παραγωγή</t>
  </si>
  <si>
    <t>Κάλυψη από Μέγιστη Παραγωγή</t>
  </si>
  <si>
    <t>Διαθέσιμη Ποσότητα Σωρευτικά</t>
  </si>
  <si>
    <t>Απόθεμα Επόμενου Μήνα</t>
  </si>
  <si>
    <t>Μηνιαία Κανονική Παραγωγή</t>
  </si>
  <si>
    <t>Μέση Ημερήσια Κανονική Παραγωγή</t>
  </si>
  <si>
    <t>Μεταβολή Ρυθμού</t>
  </si>
  <si>
    <t>Κόστος Μεταβολής Ρυθμού</t>
  </si>
  <si>
    <t>Κόστος Υπερωριακής Παραγωγής</t>
  </si>
  <si>
    <t>(9)=(2)*$F$17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</si>
  <si>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</si>
  <si>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</si>
  <si>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</si>
  <si>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</si>
  <si>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</si>
  <si>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</si>
  <si>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</si>
  <si>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</si>
  <si>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</si>
  <si>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</si>
  <si>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</si>
  <si>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</si>
  <si>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Τιμή πώλησης (€/τμχ)</t>
  </si>
  <si>
    <t xml:space="preserve">Κόστος </t>
  </si>
  <si>
    <t>Έσοδα</t>
  </si>
  <si>
    <t>Κέρδος /Ζημιά</t>
  </si>
  <si>
    <t>Κόστος παραγωγής</t>
  </si>
  <si>
    <t>Κόστος 2ης αποθήκης (€/ μήνα)</t>
  </si>
  <si>
    <t>Όριο χρήσης 2ης αποθήκης (τμχ)</t>
  </si>
  <si>
    <t>Κόστος Χρήσης 2ης αποθήκης</t>
  </si>
  <si>
    <t>Διαφορά (Απόθεμα)</t>
  </si>
  <si>
    <t>Κόστος εργατών (€/ώρα)</t>
  </si>
  <si>
    <t xml:space="preserve">Αριθμός εργατών </t>
  </si>
  <si>
    <t>Κόστος εργαζομένων</t>
  </si>
  <si>
    <t>Κόστος παραγωγής (€/τμχ)(Α ύλες)</t>
  </si>
  <si>
    <t>Ρυθμός μάθησης</t>
  </si>
  <si>
    <t>Χρόνος κατασκεύης 1ου κλιματιστικού (hours)</t>
  </si>
  <si>
    <t>Παράμετρος b</t>
  </si>
  <si>
    <t>Σταθερή κατάσταση (steady state)</t>
  </si>
  <si>
    <t>Εργατοώρες ανά μέρα (h/ημέρα)</t>
  </si>
  <si>
    <t>(6)=(4)*20%</t>
  </si>
  <si>
    <t>Κόστοι</t>
  </si>
  <si>
    <t>Κέρδος/Ζημία</t>
  </si>
  <si>
    <t>Χρόνος 165ου τμχ</t>
  </si>
  <si>
    <t>Μισθός</t>
  </si>
  <si>
    <t>Μέγιστες υπερωριες (ανά μέρα) (hours)</t>
  </si>
  <si>
    <t>(6)=(4)*%</t>
  </si>
  <si>
    <t>Ποσοστό μείωσης αποδοτικότητας στις υπερωρίες</t>
  </si>
  <si>
    <t>Διαφορά</t>
  </si>
  <si>
    <t>Κόστος Outsourcing (€/τμχ)</t>
  </si>
  <si>
    <t>Τεμάχια</t>
  </si>
  <si>
    <t>Total Outsourcing Cost</t>
  </si>
  <si>
    <t>Outsourcing</t>
  </si>
  <si>
    <t>MO</t>
  </si>
  <si>
    <t>MAX</t>
  </si>
  <si>
    <t>ΥΠΕΡΩΡΙΕΣ</t>
  </si>
  <si>
    <t>2η Αποθήκη</t>
  </si>
  <si>
    <t>Καμπύλη εκμάθησης</t>
  </si>
  <si>
    <t>Εργατικά Κόστοι</t>
  </si>
  <si>
    <t>Ειδικά Κόστοι Παραγωγής</t>
  </si>
  <si>
    <t>COST ANALYSIS</t>
  </si>
  <si>
    <t>lr</t>
  </si>
  <si>
    <t>PR</t>
  </si>
  <si>
    <t>b</t>
  </si>
  <si>
    <t>n</t>
  </si>
  <si>
    <t>m</t>
  </si>
  <si>
    <t>Τn</t>
  </si>
  <si>
    <t>Τm</t>
  </si>
  <si>
    <t>Συνολικά Κόστη ανά μήνα</t>
  </si>
  <si>
    <t>Έκπτωση κόστους παραγωγής (&gt;=1000 και &lt;1700)</t>
  </si>
  <si>
    <t>Έκπτωση κόστους παραγωγής (&gt;=1700)</t>
  </si>
  <si>
    <t>Σταθερή κατάσταση (steady state) (τμχ)</t>
  </si>
  <si>
    <t>Χρόνος 165ου τμχ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</si>
</sst>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\ [$€-408]"/>
    <numFmt numFmtId="166" formatCode="0.00_);[Red]\(0.00\)"/>
    <numFmt numFmtId="167" formatCode="#,##0.00\ &quot;€&quot;"/>
    <numFmt numFmtId="168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rgb="FFFF0000"/>
      <name val="Cambria"/>
      <family val="1"/>
    </font>
    <font>
      <sz val="11"/>
      <color rgb="FF0070C0"/>
      <name val="Cambria"/>
      <family val="1"/>
    </font>
    <font>
      <b/>
      <sz val="11"/>
      <color theme="1"/>
      <name val="Cambria"/>
      <family val="1"/>
      <charset val="16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3" borderId="0" xfId="0" quotePrefix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5" fillId="5" borderId="0" xfId="0" applyFont="1" applyFill="1" applyAlignment="1">
      <alignment vertical="center"/>
    </xf>
    <xf numFmtId="165" fontId="2" fillId="5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167" fontId="5" fillId="6" borderId="0" xfId="0" applyNumberFormat="1" applyFont="1" applyFill="1" applyAlignment="1">
      <alignment vertical="center"/>
    </xf>
    <xf numFmtId="167" fontId="5" fillId="7" borderId="0" xfId="0" applyNumberFormat="1" applyFont="1" applyFill="1" applyAlignment="1">
      <alignment vertical="center"/>
    </xf>
    <xf numFmtId="165" fontId="5" fillId="5" borderId="0" xfId="0" applyNumberFormat="1" applyFont="1" applyFill="1" applyAlignment="1">
      <alignment vertical="center"/>
    </xf>
    <xf numFmtId="167" fontId="5" fillId="2" borderId="0" xfId="0" applyNumberFormat="1" applyFont="1" applyFill="1" applyAlignment="1">
      <alignment vertical="center"/>
    </xf>
    <xf numFmtId="2" fontId="5" fillId="5" borderId="0" xfId="0" applyNumberFormat="1" applyFont="1" applyFill="1" applyAlignment="1">
      <alignment vertical="center"/>
    </xf>
    <xf numFmtId="0" fontId="1" fillId="0" borderId="9" xfId="0" applyFont="1" applyBorder="1" applyAlignment="1">
      <alignment vertical="center"/>
    </xf>
    <xf numFmtId="168" fontId="1" fillId="0" borderId="9" xfId="0" applyNumberFormat="1" applyFont="1" applyBorder="1" applyAlignment="1">
      <alignment vertical="center"/>
    </xf>
    <xf numFmtId="9" fontId="1" fillId="0" borderId="9" xfId="0" applyNumberFormat="1" applyFont="1" applyBorder="1" applyAlignment="1">
      <alignment vertical="center"/>
    </xf>
    <xf numFmtId="9" fontId="1" fillId="0" borderId="12" xfId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0" fontId="1" fillId="0" borderId="7" xfId="1" applyNumberFormat="1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0" fontId="1" fillId="0" borderId="9" xfId="1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0" fontId="1" fillId="0" borderId="12" xfId="1" applyNumberFormat="1" applyFont="1" applyBorder="1" applyAlignment="1">
      <alignment vertical="center"/>
    </xf>
    <xf numFmtId="2" fontId="1" fillId="4" borderId="7" xfId="0" applyNumberFormat="1" applyFont="1" applyFill="1" applyBorder="1" applyAlignment="1">
      <alignment vertical="center"/>
    </xf>
    <xf numFmtId="10" fontId="1" fillId="0" borderId="17" xfId="1" applyNumberFormat="1" applyFont="1" applyBorder="1" applyAlignment="1">
      <alignment vertical="center"/>
    </xf>
    <xf numFmtId="10" fontId="1" fillId="0" borderId="13" xfId="1" applyNumberFormat="1" applyFont="1" applyBorder="1" applyAlignment="1">
      <alignment vertical="center"/>
    </xf>
    <xf numFmtId="10" fontId="1" fillId="0" borderId="18" xfId="1" applyNumberFormat="1" applyFont="1" applyBorder="1" applyAlignment="1">
      <alignment vertical="center"/>
    </xf>
    <xf numFmtId="0" fontId="5" fillId="8" borderId="16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9" fontId="1" fillId="0" borderId="0" xfId="1" applyFont="1" applyAlignment="1">
      <alignment vertical="center"/>
    </xf>
    <xf numFmtId="10" fontId="1" fillId="0" borderId="0" xfId="1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5" fillId="9" borderId="0" xfId="0" applyFont="1" applyFill="1" applyAlignment="1">
      <alignment vertical="center"/>
    </xf>
    <xf numFmtId="165" fontId="2" fillId="9" borderId="0" xfId="0" applyNumberFormat="1" applyFont="1" applyFill="1" applyAlignment="1">
      <alignment vertical="center"/>
    </xf>
    <xf numFmtId="167" fontId="2" fillId="6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2" fontId="2" fillId="10" borderId="0" xfId="0" applyNumberFormat="1" applyFont="1" applyFill="1" applyAlignment="1">
      <alignment vertical="center"/>
    </xf>
    <xf numFmtId="167" fontId="1" fillId="0" borderId="4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7" fontId="1" fillId="0" borderId="9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67" fontId="1" fillId="0" borderId="12" xfId="0" applyNumberFormat="1" applyFont="1" applyBorder="1" applyAlignment="1">
      <alignment vertical="center"/>
    </xf>
    <xf numFmtId="0" fontId="2" fillId="11" borderId="27" xfId="0" applyFont="1" applyFill="1" applyBorder="1" applyAlignment="1">
      <alignment vertical="center"/>
    </xf>
    <xf numFmtId="0" fontId="2" fillId="11" borderId="28" xfId="0" applyFont="1" applyFill="1" applyBorder="1" applyAlignment="1">
      <alignment vertical="center"/>
    </xf>
    <xf numFmtId="0" fontId="2" fillId="11" borderId="29" xfId="0" applyFont="1" applyFill="1" applyBorder="1" applyAlignment="1">
      <alignment vertical="center"/>
    </xf>
    <xf numFmtId="0" fontId="5" fillId="7" borderId="30" xfId="0" applyFont="1" applyFill="1" applyBorder="1" applyAlignment="1">
      <alignment vertical="center"/>
    </xf>
    <xf numFmtId="167" fontId="1" fillId="0" borderId="5" xfId="0" applyNumberFormat="1" applyFont="1" applyBorder="1" applyAlignment="1">
      <alignment vertical="center"/>
    </xf>
    <xf numFmtId="167" fontId="1" fillId="0" borderId="6" xfId="0" applyNumberFormat="1" applyFont="1" applyBorder="1" applyAlignment="1">
      <alignment vertical="center"/>
    </xf>
    <xf numFmtId="167" fontId="1" fillId="0" borderId="7" xfId="0" applyNumberFormat="1" applyFont="1" applyBorder="1" applyAlignment="1">
      <alignment vertical="center"/>
    </xf>
    <xf numFmtId="167" fontId="1" fillId="0" borderId="8" xfId="0" applyNumberFormat="1" applyFont="1" applyBorder="1" applyAlignment="1">
      <alignment vertical="center"/>
    </xf>
    <xf numFmtId="167" fontId="1" fillId="0" borderId="10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2" fillId="11" borderId="26" xfId="0" applyFont="1" applyFill="1" applyBorder="1" applyAlignment="1">
      <alignment horizontal="center" vertical="center"/>
    </xf>
    <xf numFmtId="167" fontId="1" fillId="0" borderId="17" xfId="0" applyNumberFormat="1" applyFont="1" applyBorder="1" applyAlignment="1">
      <alignment vertical="center"/>
    </xf>
    <xf numFmtId="0" fontId="5" fillId="7" borderId="16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5" fillId="6" borderId="26" xfId="0" applyFont="1" applyFill="1" applyBorder="1" applyAlignment="1">
      <alignment vertical="center"/>
    </xf>
    <xf numFmtId="0" fontId="2" fillId="11" borderId="26" xfId="0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0" fontId="1" fillId="0" borderId="7" xfId="1" applyNumberFormat="1" applyFont="1" applyFill="1" applyBorder="1" applyAlignment="1">
      <alignment vertical="center"/>
    </xf>
    <xf numFmtId="9" fontId="1" fillId="0" borderId="7" xfId="1" applyFont="1" applyBorder="1" applyAlignment="1">
      <alignment vertical="center"/>
    </xf>
    <xf numFmtId="2" fontId="2" fillId="2" borderId="0" xfId="0" applyNumberFormat="1" applyFont="1" applyFill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40" xfId="0" quotePrefix="1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" fontId="4" fillId="0" borderId="40" xfId="0" applyNumberFormat="1" applyFont="1" applyBorder="1" applyAlignment="1">
      <alignment horizontal="center" vertical="center"/>
    </xf>
    <xf numFmtId="1" fontId="1" fillId="0" borderId="4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1" fillId="2" borderId="0" xfId="0" applyNumberFormat="1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167" fontId="1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67" fontId="1" fillId="0" borderId="19" xfId="0" applyNumberFormat="1" applyFont="1" applyBorder="1" applyAlignment="1">
      <alignment vertical="center"/>
    </xf>
    <xf numFmtId="167" fontId="1" fillId="0" borderId="20" xfId="0" applyNumberFormat="1" applyFont="1" applyBorder="1" applyAlignment="1">
      <alignment vertical="center"/>
    </xf>
    <xf numFmtId="167" fontId="1" fillId="0" borderId="21" xfId="0" applyNumberFormat="1" applyFont="1" applyBorder="1" applyAlignment="1">
      <alignment vertical="center"/>
    </xf>
    <xf numFmtId="167" fontId="1" fillId="0" borderId="41" xfId="0" applyNumberFormat="1" applyFont="1" applyBorder="1" applyAlignment="1">
      <alignment vertical="center"/>
    </xf>
    <xf numFmtId="167" fontId="1" fillId="0" borderId="42" xfId="0" applyNumberFormat="1" applyFont="1" applyBorder="1" applyAlignment="1">
      <alignment vertical="center"/>
    </xf>
    <xf numFmtId="167" fontId="1" fillId="0" borderId="43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166" fontId="1" fillId="11" borderId="0" xfId="0" applyNumberFormat="1" applyFont="1" applyFill="1" applyAlignment="1">
      <alignment vertical="center"/>
    </xf>
    <xf numFmtId="0" fontId="2" fillId="11" borderId="16" xfId="0" applyFont="1" applyFill="1" applyBorder="1" applyAlignment="1">
      <alignment horizontal="center" vertical="center"/>
    </xf>
    <xf numFmtId="167" fontId="0" fillId="0" borderId="4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167" fontId="0" fillId="0" borderId="9" xfId="0" applyNumberFormat="1" applyBorder="1"/>
    <xf numFmtId="167" fontId="0" fillId="0" borderId="11" xfId="0" applyNumberFormat="1" applyBorder="1"/>
    <xf numFmtId="167" fontId="0" fillId="0" borderId="12" xfId="0" applyNumberFormat="1" applyBorder="1"/>
    <xf numFmtId="167" fontId="0" fillId="0" borderId="39" xfId="0" applyNumberFormat="1" applyBorder="1"/>
    <xf numFmtId="167" fontId="0" fillId="0" borderId="25" xfId="0" applyNumberFormat="1" applyBorder="1"/>
    <xf numFmtId="167" fontId="0" fillId="0" borderId="36" xfId="0" applyNumberFormat="1" applyBorder="1"/>
    <xf numFmtId="0" fontId="2" fillId="11" borderId="19" xfId="0" applyFont="1" applyFill="1" applyBorder="1" applyAlignment="1">
      <alignment horizontal="center" vertical="center"/>
    </xf>
    <xf numFmtId="0" fontId="2" fillId="11" borderId="20" xfId="0" quotePrefix="1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11" borderId="21" xfId="0" quotePrefix="1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/>
    </xf>
    <xf numFmtId="0" fontId="12" fillId="0" borderId="4" xfId="0" applyFont="1" applyBorder="1"/>
    <xf numFmtId="2" fontId="12" fillId="0" borderId="4" xfId="0" applyNumberFormat="1" applyFont="1" applyBorder="1"/>
    <xf numFmtId="0" fontId="12" fillId="0" borderId="0" xfId="0" applyFont="1"/>
    <xf numFmtId="0" fontId="11" fillId="9" borderId="4" xfId="0" applyFont="1" applyFill="1" applyBorder="1"/>
    <xf numFmtId="2" fontId="11" fillId="9" borderId="4" xfId="0" applyNumberFormat="1" applyFont="1" applyFill="1" applyBorder="1"/>
    <xf numFmtId="0" fontId="11" fillId="0" borderId="0" xfId="0" applyFont="1" applyAlignment="1">
      <alignment horizontal="right"/>
    </xf>
    <xf numFmtId="0" fontId="13" fillId="11" borderId="44" xfId="0" applyFont="1" applyFill="1" applyBorder="1"/>
    <xf numFmtId="0" fontId="13" fillId="11" borderId="24" xfId="0" applyFont="1" applyFill="1" applyBorder="1"/>
    <xf numFmtId="2" fontId="1" fillId="0" borderId="12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2" fillId="12" borderId="32" xfId="0" applyFont="1" applyFill="1" applyBorder="1" applyAlignment="1">
      <alignment horizontal="center" vertical="center"/>
    </xf>
    <xf numFmtId="0" fontId="2" fillId="12" borderId="33" xfId="0" applyFont="1" applyFill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2" fillId="11" borderId="32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/>
    </xf>
    <xf numFmtId="0" fontId="2" fillId="11" borderId="3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2" fillId="13" borderId="32" xfId="0" applyFont="1" applyFill="1" applyBorder="1" applyAlignment="1">
      <alignment horizontal="center" vertical="center"/>
    </xf>
    <xf numFmtId="0" fontId="2" fillId="13" borderId="33" xfId="0" applyFont="1" applyFill="1" applyBorder="1" applyAlignment="1">
      <alignment horizontal="center" vertical="center"/>
    </xf>
    <xf numFmtId="0" fontId="2" fillId="13" borderId="31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5" fillId="8" borderId="32" xfId="0" applyFont="1" applyFill="1" applyBorder="1" applyAlignment="1">
      <alignment horizontal="center" vertical="center"/>
    </xf>
    <xf numFmtId="0" fontId="5" fillId="8" borderId="3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l-GR" sz="2000"/>
              <a:t>Καμπύλη Εκμάθησης (L</a:t>
            </a:r>
            <a:r>
              <a:rPr lang="en-US" sz="2000"/>
              <a:t>C)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>
        <c:manualLayout>
          <c:layoutTarget val="inner"/>
          <c:xMode val="edge"/>
          <c:yMode val="edge"/>
          <c:x val="3.9567498682917798E-2"/>
          <c:y val="0.10059278701273452"/>
          <c:w val="0.94868085318449114"/>
          <c:h val="0.79468085933702737"/>
        </c:manualLayout>
      </c:layout>
      <c:lineChart>
        <c:grouping val="standard"/>
        <c:varyColors val="0"/>
        <c:ser>
          <c:idx val="0"/>
          <c:order val="0"/>
          <c:spPr>
            <a:ln w="60325" cap="rnd">
              <a:solidFill>
                <a:srgbClr val="FFC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'Learning Curve'!$C$8:$C$172</c:f>
              <c:numCache>
                <c:formatCode>0.00</c:formatCode>
                <c:ptCount val="165"/>
                <c:pt idx="0">
                  <c:v>4.4000000000000004</c:v>
                </c:pt>
                <c:pt idx="1">
                  <c:v>4.0480000000000009</c:v>
                </c:pt>
                <c:pt idx="2">
                  <c:v>3.8552961158140224</c:v>
                </c:pt>
                <c:pt idx="3">
                  <c:v>3.7241600000000004</c:v>
                </c:pt>
                <c:pt idx="4">
                  <c:v>3.6255225894812417</c:v>
                </c:pt>
                <c:pt idx="5">
                  <c:v>3.5468724265489011</c:v>
                </c:pt>
                <c:pt idx="6">
                  <c:v>3.4817072781764997</c:v>
                </c:pt>
                <c:pt idx="7">
                  <c:v>3.4262272000000005</c:v>
                </c:pt>
                <c:pt idx="8">
                  <c:v>3.3780245774115198</c:v>
                </c:pt>
                <c:pt idx="9">
                  <c:v>3.3354807823227426</c:v>
                </c:pt>
                <c:pt idx="10">
                  <c:v>3.2974570039742912</c:v>
                </c:pt>
                <c:pt idx="11">
                  <c:v>3.2631226324249889</c:v>
                </c:pt>
                <c:pt idx="12">
                  <c:v>3.2318538612644723</c:v>
                </c:pt>
                <c:pt idx="13">
                  <c:v>3.2031706959223794</c:v>
                </c:pt>
                <c:pt idx="14">
                  <c:v>3.1766961720506877</c:v>
                </c:pt>
                <c:pt idx="15">
                  <c:v>3.1521290240000006</c:v>
                </c:pt>
                <c:pt idx="16">
                  <c:v>3.1292248206418138</c:v>
                </c:pt>
                <c:pt idx="17">
                  <c:v>3.1077826112185987</c:v>
                </c:pt>
                <c:pt idx="18">
                  <c:v>3.0876352609121835</c:v>
                </c:pt>
                <c:pt idx="19">
                  <c:v>3.0686423197369233</c:v>
                </c:pt>
                <c:pt idx="20">
                  <c:v>3.0506846695352889</c:v>
                </c:pt>
                <c:pt idx="21">
                  <c:v>3.0336604436563479</c:v>
                </c:pt>
                <c:pt idx="22">
                  <c:v>3.0174818736397029</c:v>
                </c:pt>
                <c:pt idx="23">
                  <c:v>3.00207282183099</c:v>
                </c:pt>
                <c:pt idx="24">
                  <c:v>2.9873668288269926</c:v>
                </c:pt>
                <c:pt idx="25">
                  <c:v>2.973305552363315</c:v>
                </c:pt>
                <c:pt idx="26">
                  <c:v>2.9598375073679408</c:v>
                </c:pt>
                <c:pt idx="27">
                  <c:v>2.9469170402485894</c:v>
                </c:pt>
                <c:pt idx="28">
                  <c:v>2.9345034871825573</c:v>
                </c:pt>
                <c:pt idx="29">
                  <c:v>2.9225604782866332</c:v>
                </c:pt>
                <c:pt idx="30">
                  <c:v>2.9110553584333849</c:v>
                </c:pt>
                <c:pt idx="31">
                  <c:v>2.8999587020800006</c:v>
                </c:pt>
                <c:pt idx="32">
                  <c:v>2.8892439044285974</c:v>
                </c:pt>
                <c:pt idx="33">
                  <c:v>2.8788868349904688</c:v>
                </c:pt>
                <c:pt idx="34">
                  <c:v>2.8688655424977614</c:v>
                </c:pt>
                <c:pt idx="35">
                  <c:v>2.8591600023211106</c:v>
                </c:pt>
                <c:pt idx="36">
                  <c:v>2.8497518992745658</c:v>
                </c:pt>
                <c:pt idx="37">
                  <c:v>2.8406244400392087</c:v>
                </c:pt>
                <c:pt idx="38">
                  <c:v>2.8317621905026069</c:v>
                </c:pt>
                <c:pt idx="39">
                  <c:v>2.8231509341579692</c:v>
                </c:pt>
                <c:pt idx="40">
                  <c:v>2.8147775483841575</c:v>
                </c:pt>
                <c:pt idx="41">
                  <c:v>2.806629895972466</c:v>
                </c:pt>
                <c:pt idx="42">
                  <c:v>2.7986967297069718</c:v>
                </c:pt>
                <c:pt idx="43">
                  <c:v>2.7909676081638404</c:v>
                </c:pt>
                <c:pt idx="44">
                  <c:v>2.783432821188248</c:v>
                </c:pt>
                <c:pt idx="45">
                  <c:v>2.776083323748527</c:v>
                </c:pt>
                <c:pt idx="46">
                  <c:v>2.7689106770660761</c:v>
                </c:pt>
                <c:pt idx="47">
                  <c:v>2.7619069960845111</c:v>
                </c:pt>
                <c:pt idx="48">
                  <c:v>2.7550649024789116</c:v>
                </c:pt>
                <c:pt idx="49">
                  <c:v>2.7483774825208331</c:v>
                </c:pt>
                <c:pt idx="50">
                  <c:v>2.7418382492111855</c:v>
                </c:pt>
                <c:pt idx="51">
                  <c:v>2.7354411081742493</c:v>
                </c:pt>
                <c:pt idx="52">
                  <c:v>2.7291803268747969</c:v>
                </c:pt>
                <c:pt idx="53">
                  <c:v>2.7230505067785051</c:v>
                </c:pt>
                <c:pt idx="54">
                  <c:v>2.7170465581254382</c:v>
                </c:pt>
                <c:pt idx="55">
                  <c:v>2.711163677028702</c:v>
                </c:pt>
                <c:pt idx="56">
                  <c:v>2.7053973246466265</c:v>
                </c:pt>
                <c:pt idx="57">
                  <c:v>2.6997432082079529</c:v>
                </c:pt>
                <c:pt idx="58">
                  <c:v>2.6941972636963496</c:v>
                </c:pt>
                <c:pt idx="59">
                  <c:v>2.6887556400237025</c:v>
                </c:pt>
                <c:pt idx="60">
                  <c:v>2.6834146845417117</c:v>
                </c:pt>
                <c:pt idx="61">
                  <c:v>2.6781709297587146</c:v>
                </c:pt>
                <c:pt idx="62">
                  <c:v>2.6730210811438142</c:v>
                </c:pt>
                <c:pt idx="63">
                  <c:v>2.6679620059136013</c:v>
                </c:pt>
                <c:pt idx="64">
                  <c:v>2.6629907227082996</c:v>
                </c:pt>
                <c:pt idx="65">
                  <c:v>2.6581043920743097</c:v>
                </c:pt>
                <c:pt idx="66">
                  <c:v>2.6533003076789732</c:v>
                </c:pt>
                <c:pt idx="67">
                  <c:v>2.6485758881912314</c:v>
                </c:pt>
                <c:pt idx="68">
                  <c:v>2.6439286697687199</c:v>
                </c:pt>
                <c:pt idx="69">
                  <c:v>2.63935629909794</c:v>
                </c:pt>
                <c:pt idx="70">
                  <c:v>2.6348565269395299</c:v>
                </c:pt>
                <c:pt idx="71">
                  <c:v>2.6304272021354222</c:v>
                </c:pt>
                <c:pt idx="72">
                  <c:v>2.6260662660389351</c:v>
                </c:pt>
                <c:pt idx="73">
                  <c:v>2.6217717473326001</c:v>
                </c:pt>
                <c:pt idx="74">
                  <c:v>2.6175417572018991</c:v>
                </c:pt>
                <c:pt idx="75">
                  <c:v>2.6133744848360725</c:v>
                </c:pt>
                <c:pt idx="76">
                  <c:v>2.6092681932298558</c:v>
                </c:pt>
                <c:pt idx="77">
                  <c:v>2.6052212152623984</c:v>
                </c:pt>
                <c:pt idx="78">
                  <c:v>2.6012319500317602</c:v>
                </c:pt>
                <c:pt idx="79">
                  <c:v>2.5972988594253321</c:v>
                </c:pt>
                <c:pt idx="80">
                  <c:v>2.5934204649082453</c:v>
                </c:pt>
                <c:pt idx="81">
                  <c:v>2.5895953445134245</c:v>
                </c:pt>
                <c:pt idx="82">
                  <c:v>2.5858221300183235</c:v>
                </c:pt>
                <c:pt idx="83">
                  <c:v>2.5820995042946691</c:v>
                </c:pt>
                <c:pt idx="84">
                  <c:v>2.5784261988187005</c:v>
                </c:pt>
                <c:pt idx="85">
                  <c:v>2.5748009913304144</c:v>
                </c:pt>
                <c:pt idx="86">
                  <c:v>2.5712227036312765</c:v>
                </c:pt>
                <c:pt idx="87">
                  <c:v>2.5676901995107331</c:v>
                </c:pt>
                <c:pt idx="88">
                  <c:v>2.5642023827926064</c:v>
                </c:pt>
                <c:pt idx="89">
                  <c:v>2.5607581954931882</c:v>
                </c:pt>
                <c:pt idx="90">
                  <c:v>2.5573566160834851</c:v>
                </c:pt>
                <c:pt idx="91">
                  <c:v>2.553996657848645</c:v>
                </c:pt>
                <c:pt idx="92">
                  <c:v>2.5506773673381424</c:v>
                </c:pt>
                <c:pt idx="93">
                  <c:v>2.5473978229007894</c:v>
                </c:pt>
                <c:pt idx="94">
                  <c:v>2.5441571332990742</c:v>
                </c:pt>
                <c:pt idx="95">
                  <c:v>2.5409544363977501</c:v>
                </c:pt>
                <c:pt idx="96">
                  <c:v>2.5377888979219692</c:v>
                </c:pt>
                <c:pt idx="97">
                  <c:v>2.5346597102805983</c:v>
                </c:pt>
                <c:pt idx="98">
                  <c:v>2.5315660914506619</c:v>
                </c:pt>
                <c:pt idx="99">
                  <c:v>2.5285072839191667</c:v>
                </c:pt>
                <c:pt idx="100">
                  <c:v>2.5254825536788044</c:v>
                </c:pt>
                <c:pt idx="101">
                  <c:v>2.5224911892742909</c:v>
                </c:pt>
                <c:pt idx="102">
                  <c:v>2.519532500896319</c:v>
                </c:pt>
                <c:pt idx="103">
                  <c:v>2.5166058195203096</c:v>
                </c:pt>
                <c:pt idx="104">
                  <c:v>2.5137104960873424</c:v>
                </c:pt>
                <c:pt idx="105">
                  <c:v>2.5108459007248132</c:v>
                </c:pt>
                <c:pt idx="106">
                  <c:v>2.508011422004548</c:v>
                </c:pt>
                <c:pt idx="107">
                  <c:v>2.505206466236225</c:v>
                </c:pt>
                <c:pt idx="108">
                  <c:v>2.5024304567941362</c:v>
                </c:pt>
                <c:pt idx="109">
                  <c:v>2.4996828334754033</c:v>
                </c:pt>
                <c:pt idx="110">
                  <c:v>2.4969630518879238</c:v>
                </c:pt>
                <c:pt idx="111">
                  <c:v>2.4942705828664065</c:v>
                </c:pt>
                <c:pt idx="112">
                  <c:v>2.4916049119149739</c:v>
                </c:pt>
                <c:pt idx="113">
                  <c:v>2.4889655386748961</c:v>
                </c:pt>
                <c:pt idx="114">
                  <c:v>2.4863519764161195</c:v>
                </c:pt>
                <c:pt idx="115">
                  <c:v>2.4837637515513169</c:v>
                </c:pt>
                <c:pt idx="116">
                  <c:v>2.4812004031712971</c:v>
                </c:pt>
                <c:pt idx="117">
                  <c:v>2.4786614826006415</c:v>
                </c:pt>
                <c:pt idx="118">
                  <c:v>2.4761465529725353</c:v>
                </c:pt>
                <c:pt idx="119">
                  <c:v>2.4736551888218066</c:v>
                </c:pt>
                <c:pt idx="120">
                  <c:v>2.471186975695252</c:v>
                </c:pt>
                <c:pt idx="121">
                  <c:v>2.4687415097783747</c:v>
                </c:pt>
                <c:pt idx="122">
                  <c:v>2.4663183975377176</c:v>
                </c:pt>
                <c:pt idx="123">
                  <c:v>2.4639172553780178</c:v>
                </c:pt>
                <c:pt idx="124">
                  <c:v>2.4615377093134549</c:v>
                </c:pt>
                <c:pt idx="125">
                  <c:v>2.4591793946523097</c:v>
                </c:pt>
                <c:pt idx="126">
                  <c:v>2.4568419556943732</c:v>
                </c:pt>
                <c:pt idx="127">
                  <c:v>2.454525045440513</c:v>
                </c:pt>
                <c:pt idx="128">
                  <c:v>2.4522283253137944</c:v>
                </c:pt>
                <c:pt idx="129">
                  <c:v>2.4499514648916354</c:v>
                </c:pt>
                <c:pt idx="130">
                  <c:v>2.4476941416484599</c:v>
                </c:pt>
                <c:pt idx="131">
                  <c:v>2.4454560407083652</c:v>
                </c:pt>
                <c:pt idx="132">
                  <c:v>2.4432368546073513</c:v>
                </c:pt>
                <c:pt idx="133">
                  <c:v>2.4410362830646561</c:v>
                </c:pt>
                <c:pt idx="134">
                  <c:v>2.4388540327627997</c:v>
                </c:pt>
                <c:pt idx="135">
                  <c:v>2.4366898171359335</c:v>
                </c:pt>
                <c:pt idx="136">
                  <c:v>2.4345433561661234</c:v>
                </c:pt>
                <c:pt idx="137">
                  <c:v>2.4324143761872219</c:v>
                </c:pt>
                <c:pt idx="138">
                  <c:v>2.4303026096959823</c:v>
                </c:pt>
                <c:pt idx="139">
                  <c:v>2.4282077951701053</c:v>
                </c:pt>
                <c:pt idx="140">
                  <c:v>2.4261296768929128</c:v>
                </c:pt>
                <c:pt idx="141">
                  <c:v>2.4240680047843677</c:v>
                </c:pt>
                <c:pt idx="142">
                  <c:v>2.4220225342381574</c:v>
                </c:pt>
                <c:pt idx="143">
                  <c:v>2.4199930259645885</c:v>
                </c:pt>
                <c:pt idx="144">
                  <c:v>2.4179792458390543</c:v>
                </c:pt>
                <c:pt idx="145">
                  <c:v>2.4159809647558204</c:v>
                </c:pt>
                <c:pt idx="146">
                  <c:v>2.4139979584869282</c:v>
                </c:pt>
                <c:pt idx="147">
                  <c:v>2.4120300075459924</c:v>
                </c:pt>
                <c:pt idx="148">
                  <c:v>2.4100768970566881</c:v>
                </c:pt>
                <c:pt idx="149">
                  <c:v>2.4081384166257473</c:v>
                </c:pt>
                <c:pt idx="150">
                  <c:v>2.4062143602202717</c:v>
                </c:pt>
                <c:pt idx="151">
                  <c:v>2.4043045260491867</c:v>
                </c:pt>
                <c:pt idx="152">
                  <c:v>2.4024087164486825</c:v>
                </c:pt>
                <c:pt idx="153">
                  <c:v>2.4005267377714672</c:v>
                </c:pt>
                <c:pt idx="154">
                  <c:v>2.3986584002796931</c:v>
                </c:pt>
                <c:pt idx="155">
                  <c:v>2.3968035180414065</c:v>
                </c:pt>
                <c:pt idx="156">
                  <c:v>2.3949619088303833</c:v>
                </c:pt>
                <c:pt idx="157">
                  <c:v>2.3931333940292197</c:v>
                </c:pt>
                <c:pt idx="158">
                  <c:v>2.3913177985355567</c:v>
                </c:pt>
                <c:pt idx="159">
                  <c:v>2.3895149506713058</c:v>
                </c:pt>
                <c:pt idx="160">
                  <c:v>2.3877246820947757</c:v>
                </c:pt>
                <c:pt idx="161">
                  <c:v>2.3859468277155855</c:v>
                </c:pt>
                <c:pt idx="162">
                  <c:v>2.3841812256122497</c:v>
                </c:pt>
                <c:pt idx="163">
                  <c:v>2.3824277169523507</c:v>
                </c:pt>
                <c:pt idx="164">
                  <c:v>2.3806861459151953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6-7C41-96DC-6ECB6058A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0578176"/>
        <c:axId val="148751856"/>
      </c:lineChart>
      <c:catAx>
        <c:axId val="13205781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27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48751856"/>
        <c:crosses val="autoZero"/>
        <c:auto val="1"/>
        <c:lblAlgn val="ctr"/>
        <c:lblOffset val="100"/>
        <c:tickLblSkip val="3"/>
        <c:noMultiLvlLbl val="0"/>
      </c:catAx>
      <c:valAx>
        <c:axId val="14875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32057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2800"/>
              <a:t>Ζήτηση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60325" cap="rnd">
              <a:solidFill>
                <a:schemeClr val="accent6">
                  <a:lumMod val="60000"/>
                  <a:lumOff val="40000"/>
                </a:schemeClr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'Σταθερή παραγωγή στο ΜΟ'!$B$4:$B$15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'Σταθερή παραγωγή στο ΜΟ'!$E$4:$E$15</c:f>
              <c:numCache>
                <c:formatCode>0</c:formatCode>
                <c:ptCount val="12"/>
                <c:pt idx="0">
                  <c:v>800</c:v>
                </c:pt>
                <c:pt idx="1">
                  <c:v>700</c:v>
                </c:pt>
                <c:pt idx="2">
                  <c:v>1200</c:v>
                </c:pt>
                <c:pt idx="3">
                  <c:v>1600</c:v>
                </c:pt>
                <c:pt idx="4">
                  <c:v>2200</c:v>
                </c:pt>
                <c:pt idx="5">
                  <c:v>2800</c:v>
                </c:pt>
                <c:pt idx="6">
                  <c:v>2700</c:v>
                </c:pt>
                <c:pt idx="7">
                  <c:v>1300</c:v>
                </c:pt>
                <c:pt idx="8">
                  <c:v>800</c:v>
                </c:pt>
                <c:pt idx="9">
                  <c:v>1800</c:v>
                </c:pt>
                <c:pt idx="10">
                  <c:v>2500</c:v>
                </c:pt>
                <c:pt idx="11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8-FC4A-8D57-34AEB32A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0829807"/>
        <c:axId val="1210858303"/>
      </c:lineChart>
      <c:catAx>
        <c:axId val="1210829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210858303"/>
        <c:crosses val="autoZero"/>
        <c:auto val="1"/>
        <c:lblAlgn val="ctr"/>
        <c:lblOffset val="100"/>
        <c:noMultiLvlLbl val="0"/>
      </c:catAx>
      <c:valAx>
        <c:axId val="1210858303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210829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l-GR" sz="2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Παραγωγή </a:t>
            </a:r>
            <a:r>
              <a:rPr lang="en-US" sz="2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vs </a:t>
            </a:r>
            <a:r>
              <a:rPr lang="el-GR" sz="28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Απαιτήσεις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8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'Σταθερή παραγωγή στο ΜΟ'!$H$2</c:f>
              <c:strCache>
                <c:ptCount val="1"/>
                <c:pt idx="0">
                  <c:v>Σωρευτικές απαιτήσεις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'Σταθερή παραγωγή στο ΜΟ'!$B$4:$B$15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'Σταθερή παραγωγή στο ΜΟ'!$H$4:$H$15</c:f>
              <c:numCache>
                <c:formatCode>0</c:formatCode>
                <c:ptCount val="12"/>
                <c:pt idx="0">
                  <c:v>920</c:v>
                </c:pt>
                <c:pt idx="1">
                  <c:v>1605</c:v>
                </c:pt>
                <c:pt idx="2">
                  <c:v>2910</c:v>
                </c:pt>
                <c:pt idx="3">
                  <c:v>4580</c:v>
                </c:pt>
                <c:pt idx="4">
                  <c:v>7050</c:v>
                </c:pt>
                <c:pt idx="5">
                  <c:v>10280</c:v>
                </c:pt>
                <c:pt idx="6">
                  <c:v>12810</c:v>
                </c:pt>
                <c:pt idx="7">
                  <c:v>13690</c:v>
                </c:pt>
                <c:pt idx="8">
                  <c:v>14260</c:v>
                </c:pt>
                <c:pt idx="9">
                  <c:v>16350</c:v>
                </c:pt>
                <c:pt idx="10">
                  <c:v>19025</c:v>
                </c:pt>
                <c:pt idx="11">
                  <c:v>19435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1-9A48-8C89-7274826B4305}"/>
            </c:ext>
          </c:extLst>
        </c:ser>
        <c:ser>
          <c:idx val="1"/>
          <c:order val="1"/>
          <c:tx>
            <c:strRef>
              <c:f>'Σταθερή παραγωγή στο ΜΟ'!$K$2</c:f>
              <c:strCache>
                <c:ptCount val="1"/>
                <c:pt idx="0">
                  <c:v>Διαθέσιμη ποσότητα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'Σταθερή παραγωγή στο ΜΟ'!$B$4:$B$15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'Σταθερή παραγωγή στο ΜΟ'!$K$4:$K$15</c:f>
              <c:numCache>
                <c:formatCode>0.00</c:formatCode>
                <c:ptCount val="12"/>
                <c:pt idx="0">
                  <c:v>2060</c:v>
                </c:pt>
                <c:pt idx="1">
                  <c:v>2860</c:v>
                </c:pt>
                <c:pt idx="2">
                  <c:v>4700</c:v>
                </c:pt>
                <c:pt idx="3">
                  <c:v>6220</c:v>
                </c:pt>
                <c:pt idx="4">
                  <c:v>7980</c:v>
                </c:pt>
                <c:pt idx="5">
                  <c:v>9740</c:v>
                </c:pt>
                <c:pt idx="6">
                  <c:v>11340</c:v>
                </c:pt>
                <c:pt idx="7">
                  <c:v>13180</c:v>
                </c:pt>
                <c:pt idx="8">
                  <c:v>14860</c:v>
                </c:pt>
                <c:pt idx="9">
                  <c:v>16620</c:v>
                </c:pt>
                <c:pt idx="10">
                  <c:v>18380</c:v>
                </c:pt>
                <c:pt idx="11">
                  <c:v>19820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1-9A48-8C89-7274826B4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258304"/>
        <c:axId val="505434736"/>
      </c:lineChart>
      <c:catAx>
        <c:axId val="50625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505434736"/>
        <c:crosses val="autoZero"/>
        <c:auto val="1"/>
        <c:lblAlgn val="ctr"/>
        <c:lblOffset val="100"/>
        <c:noMultiLvlLbl val="0"/>
      </c:catAx>
      <c:valAx>
        <c:axId val="50543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50625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l-GR" sz="2000"/>
              <a:t>Παραγωγή </a:t>
            </a:r>
            <a:r>
              <a:rPr lang="en-US" sz="2000"/>
              <a:t>vs </a:t>
            </a:r>
            <a:r>
              <a:rPr lang="el-GR" sz="2000"/>
              <a:t>Απαιτήσεις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'Σταθερή Παραγωγή στο Μέγιστο'!$H$2</c:f>
              <c:strCache>
                <c:ptCount val="1"/>
                <c:pt idx="0">
                  <c:v>Σωρευτικές απαιτήσεις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'Σταθερή Παραγωγή στο Μέγιστο'!$B$4:$B$15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'Σταθερή Παραγωγή στο Μέγιστο'!$H$4:$H$15</c:f>
              <c:numCache>
                <c:formatCode>0</c:formatCode>
                <c:ptCount val="12"/>
                <c:pt idx="0">
                  <c:v>920</c:v>
                </c:pt>
                <c:pt idx="1">
                  <c:v>1605</c:v>
                </c:pt>
                <c:pt idx="2">
                  <c:v>2910</c:v>
                </c:pt>
                <c:pt idx="3">
                  <c:v>4580</c:v>
                </c:pt>
                <c:pt idx="4">
                  <c:v>7050</c:v>
                </c:pt>
                <c:pt idx="5">
                  <c:v>10280</c:v>
                </c:pt>
                <c:pt idx="6">
                  <c:v>12810</c:v>
                </c:pt>
                <c:pt idx="7">
                  <c:v>13690</c:v>
                </c:pt>
                <c:pt idx="8">
                  <c:v>14260</c:v>
                </c:pt>
                <c:pt idx="9">
                  <c:v>16350</c:v>
                </c:pt>
                <c:pt idx="10">
                  <c:v>19025</c:v>
                </c:pt>
                <c:pt idx="11">
                  <c:v>19435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0-0D42-8109-A738BCD2B65B}"/>
            </c:ext>
          </c:extLst>
        </c:ser>
        <c:ser>
          <c:idx val="1"/>
          <c:order val="1"/>
          <c:tx>
            <c:strRef>
              <c:f>'Σταθερή Παραγωγή στο Μέγιστο'!$P$2</c:f>
              <c:strCache>
                <c:ptCount val="1"/>
                <c:pt idx="0">
                  <c:v>Διαθέσιμη ποσότητα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'Σταθερή Παραγωγή στο Μέγιστο'!$B$4:$B$15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'Σταθερή Παραγωγή στο Μέγιστο'!$P$4:$P$15</c:f>
              <c:numCache>
                <c:formatCode>0.00</c:formatCode>
                <c:ptCount val="12"/>
                <c:pt idx="0">
                  <c:v>2148</c:v>
                </c:pt>
                <c:pt idx="1">
                  <c:v>2988</c:v>
                </c:pt>
                <c:pt idx="2">
                  <c:v>4920</c:v>
                </c:pt>
                <c:pt idx="3">
                  <c:v>6516</c:v>
                </c:pt>
                <c:pt idx="4">
                  <c:v>8364</c:v>
                </c:pt>
                <c:pt idx="5">
                  <c:v>10212</c:v>
                </c:pt>
                <c:pt idx="6">
                  <c:v>11892</c:v>
                </c:pt>
                <c:pt idx="7">
                  <c:v>13824</c:v>
                </c:pt>
                <c:pt idx="8">
                  <c:v>15588</c:v>
                </c:pt>
                <c:pt idx="9">
                  <c:v>17436</c:v>
                </c:pt>
                <c:pt idx="10">
                  <c:v>19284</c:v>
                </c:pt>
                <c:pt idx="11">
                  <c:v>20796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0-0D42-8109-A738BCD2B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730736"/>
        <c:axId val="492174288"/>
      </c:lineChart>
      <c:catAx>
        <c:axId val="30273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492174288"/>
        <c:crosses val="autoZero"/>
        <c:auto val="1"/>
        <c:lblAlgn val="ctr"/>
        <c:lblOffset val="100"/>
        <c:noMultiLvlLbl val="0"/>
      </c:catAx>
      <c:valAx>
        <c:axId val="49217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30273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l-GR" sz="2800"/>
              <a:t>Παραγωγή </a:t>
            </a:r>
            <a:r>
              <a:rPr lang="en-US" sz="2800"/>
              <a:t>vs</a:t>
            </a:r>
            <a:r>
              <a:rPr lang="en-US" sz="2800" baseline="0"/>
              <a:t> </a:t>
            </a:r>
            <a:r>
              <a:rPr lang="el-GR" sz="2800" baseline="0"/>
              <a:t>Απαιτήσεις</a:t>
            </a:r>
          </a:p>
          <a:p>
            <a:pPr>
              <a:defRPr sz="2800"/>
            </a:pPr>
            <a:endParaRPr lang="en-GB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'Παραγωγή με Υπερωρίες'!$H$2</c:f>
              <c:strCache>
                <c:ptCount val="1"/>
                <c:pt idx="0">
                  <c:v>Σωρευτικές απαιτήσεις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'Παραγωγή με Υπερωρίες'!$B$4:$B$15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'Παραγωγή με Υπερωρίες'!$H$4:$H$15</c:f>
              <c:numCache>
                <c:formatCode>0</c:formatCode>
                <c:ptCount val="12"/>
                <c:pt idx="0">
                  <c:v>920</c:v>
                </c:pt>
                <c:pt idx="1">
                  <c:v>1605</c:v>
                </c:pt>
                <c:pt idx="2">
                  <c:v>2910</c:v>
                </c:pt>
                <c:pt idx="3">
                  <c:v>4580</c:v>
                </c:pt>
                <c:pt idx="4">
                  <c:v>7050</c:v>
                </c:pt>
                <c:pt idx="5">
                  <c:v>10280</c:v>
                </c:pt>
                <c:pt idx="6">
                  <c:v>12810</c:v>
                </c:pt>
                <c:pt idx="7">
                  <c:v>13690</c:v>
                </c:pt>
                <c:pt idx="8">
                  <c:v>14260</c:v>
                </c:pt>
                <c:pt idx="9">
                  <c:v>16350</c:v>
                </c:pt>
                <c:pt idx="10">
                  <c:v>19025</c:v>
                </c:pt>
                <c:pt idx="11">
                  <c:v>19435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D-1C41-9F25-FD82454BC166}"/>
            </c:ext>
          </c:extLst>
        </c:ser>
        <c:ser>
          <c:idx val="1"/>
          <c:order val="1"/>
          <c:tx>
            <c:strRef>
              <c:f>'Παραγωγή με Υπερωρίες'!$Q$2</c:f>
              <c:strCache>
                <c:ptCount val="1"/>
                <c:pt idx="0">
                  <c:v>Διαθέσιμη Ποσότητα Σωρευτικά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'Παραγωγή με Υπερωρίες'!$B$4:$B$15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'Παραγωγή με Υπερωρίες'!$Q$4:$Q$15</c:f>
              <c:numCache>
                <c:formatCode>0</c:formatCode>
                <c:ptCount val="12"/>
                <c:pt idx="0">
                  <c:v>2148.2066640953758</c:v>
                </c:pt>
                <c:pt idx="1">
                  <c:v>2988.3006023205467</c:v>
                </c:pt>
                <c:pt idx="2">
                  <c:v>4422.7497706425902</c:v>
                </c:pt>
                <c:pt idx="3">
                  <c:v>6092.7497706425902</c:v>
                </c:pt>
                <c:pt idx="4">
                  <c:v>8495.418433966579</c:v>
                </c:pt>
                <c:pt idx="5">
                  <c:v>10898.087097290569</c:v>
                </c:pt>
                <c:pt idx="6">
                  <c:v>13082.331336676012</c:v>
                </c:pt>
                <c:pt idx="7">
                  <c:v>13962.331336676012</c:v>
                </c:pt>
                <c:pt idx="8">
                  <c:v>14532.331336676012</c:v>
                </c:pt>
                <c:pt idx="9">
                  <c:v>16622.331336676012</c:v>
                </c:pt>
                <c:pt idx="10">
                  <c:v>19025</c:v>
                </c:pt>
                <c:pt idx="11">
                  <c:v>19435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D-1C41-9F25-FD82454BC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059376"/>
        <c:axId val="275644944"/>
      </c:lineChart>
      <c:catAx>
        <c:axId val="15705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275644944"/>
        <c:crosses val="autoZero"/>
        <c:auto val="1"/>
        <c:lblAlgn val="ctr"/>
        <c:lblOffset val="100"/>
        <c:noMultiLvlLbl val="0"/>
      </c:catAx>
      <c:valAx>
        <c:axId val="27564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5705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600"/>
              <a:t>COST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'Cost Analysis'!$B$6</c:f>
              <c:strCache>
                <c:ptCount val="1"/>
                <c:pt idx="0">
                  <c:v>MO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'Cost Analysis'!$A$7:$A$18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'Cost Analysis'!$B$7:$B$18</c:f>
              <c:numCache>
                <c:formatCode>#,##0.00\ "€"</c:formatCode>
                <c:ptCount val="12"/>
                <c:pt idx="0">
                  <c:v>537400</c:v>
                </c:pt>
                <c:pt idx="1">
                  <c:v>343850</c:v>
                </c:pt>
                <c:pt idx="2">
                  <c:v>613700</c:v>
                </c:pt>
                <c:pt idx="3">
                  <c:v>548000</c:v>
                </c:pt>
                <c:pt idx="4">
                  <c:v>522700</c:v>
                </c:pt>
                <c:pt idx="5">
                  <c:v>835600</c:v>
                </c:pt>
                <c:pt idx="6">
                  <c:v>1469000</c:v>
                </c:pt>
                <c:pt idx="7">
                  <c:v>853800</c:v>
                </c:pt>
                <c:pt idx="8">
                  <c:v>504000</c:v>
                </c:pt>
                <c:pt idx="9">
                  <c:v>476500</c:v>
                </c:pt>
                <c:pt idx="10">
                  <c:v>909100</c:v>
                </c:pt>
                <c:pt idx="11">
                  <c:v>451750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7-EE4E-9890-4E802A174152}"/>
            </c:ext>
          </c:extLst>
        </c:ser>
        <c:ser>
          <c:idx val="1"/>
          <c:order val="1"/>
          <c:tx>
            <c:strRef>
              <c:f>'Cost Analysis'!$C$6</c:f>
              <c:strCache>
                <c:ptCount val="1"/>
                <c:pt idx="0">
                  <c:v>MAX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'Cost Analysis'!$A$7:$A$18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'Cost Analysis'!$C$7:$C$18</c:f>
              <c:numCache>
                <c:formatCode>#,##0.00\ "€"</c:formatCode>
                <c:ptCount val="12"/>
                <c:pt idx="0">
                  <c:v>564680</c:v>
                </c:pt>
                <c:pt idx="1">
                  <c:v>364810</c:v>
                </c:pt>
                <c:pt idx="2">
                  <c:v>651180</c:v>
                </c:pt>
                <c:pt idx="3">
                  <c:v>598100</c:v>
                </c:pt>
                <c:pt idx="4">
                  <c:v>570700</c:v>
                </c:pt>
                <c:pt idx="5">
                  <c:v>526320</c:v>
                </c:pt>
                <c:pt idx="6">
                  <c:v>1103000</c:v>
                </c:pt>
                <c:pt idx="7">
                  <c:v>528260</c:v>
                </c:pt>
                <c:pt idx="8">
                  <c:v>549920</c:v>
                </c:pt>
                <c:pt idx="9">
                  <c:v>554740</c:v>
                </c:pt>
                <c:pt idx="10">
                  <c:v>496850</c:v>
                </c:pt>
                <c:pt idx="11">
                  <c:v>538430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97-EE4E-9890-4E802A174152}"/>
            </c:ext>
          </c:extLst>
        </c:ser>
        <c:ser>
          <c:idx val="2"/>
          <c:order val="2"/>
          <c:tx>
            <c:strRef>
              <c:f>'Cost Analysis'!$D$6</c:f>
              <c:strCache>
                <c:ptCount val="1"/>
                <c:pt idx="0">
                  <c:v>ΥΠΕΡΩΡΙΕΣ</c:v>
                </c:pt>
              </c:strCache>
            </c:strRef>
          </c:tx>
          <c:spPr>
            <a:ln w="22225" cap="rnd">
              <a:solidFill>
                <a:srgbClr val="FFFF00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'Cost Analysis'!$A$7:$A$18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'Cost Analysis'!$D$7:$D$18</c:f>
              <c:numCache>
                <c:formatCode>#,##0.00\ "€"</c:formatCode>
                <c:ptCount val="12"/>
                <c:pt idx="0">
                  <c:v>564744.06586956652</c:v>
                </c:pt>
                <c:pt idx="1">
                  <c:v>364859.22362998954</c:v>
                </c:pt>
                <c:pt idx="2">
                  <c:v>517133.83733833453</c:v>
                </c:pt>
                <c:pt idx="3">
                  <c:v>585630.19182935264</c:v>
                </c:pt>
                <c:pt idx="4">
                  <c:v>718564.38956770394</c:v>
                </c:pt>
                <c:pt idx="5">
                  <c:v>660651.19600038324</c:v>
                </c:pt>
                <c:pt idx="6">
                  <c:v>605525.19279593369</c:v>
                </c:pt>
                <c:pt idx="7">
                  <c:v>356562.60327024071</c:v>
                </c:pt>
                <c:pt idx="8">
                  <c:v>228110.39853626495</c:v>
                </c:pt>
                <c:pt idx="9">
                  <c:v>581027.74159823114</c:v>
                </c:pt>
                <c:pt idx="10">
                  <c:v>617385.0991900434</c:v>
                </c:pt>
                <c:pt idx="11">
                  <c:v>210537.09086234018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97-EE4E-9890-4E802A17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0593167"/>
        <c:axId val="1195777551"/>
      </c:lineChart>
      <c:catAx>
        <c:axId val="140059316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195777551"/>
        <c:crosses val="autoZero"/>
        <c:auto val="1"/>
        <c:lblAlgn val="ctr"/>
        <c:lblOffset val="100"/>
        <c:noMultiLvlLbl val="0"/>
      </c:catAx>
      <c:valAx>
        <c:axId val="119577755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400593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2800"/>
              <a:t>Ζήτηση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60325" cap="rnd">
              <a:solidFill>
                <a:schemeClr val="accent4">
                  <a:lumMod val="75000"/>
                </a:schemeClr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GR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'Σταθερή παραγωγή στο ΜΟ'!$B$4:$B$15</c:f>
              <c:strCache>
                <c:ptCount val="12"/>
                <c:pt idx="0">
                  <c:v>Ιαν</c:v>
                </c:pt>
                <c:pt idx="1">
                  <c:v>Φεβ</c:v>
                </c:pt>
                <c:pt idx="2">
                  <c:v>Μαρ</c:v>
                </c:pt>
                <c:pt idx="3">
                  <c:v>Απρ</c:v>
                </c:pt>
                <c:pt idx="4">
                  <c:v>Μαϊ</c:v>
                </c:pt>
                <c:pt idx="5">
                  <c:v>Ιουν</c:v>
                </c:pt>
                <c:pt idx="6">
                  <c:v>Ιουλ</c:v>
                </c:pt>
                <c:pt idx="7">
                  <c:v>Αυγ</c:v>
                </c:pt>
                <c:pt idx="8">
                  <c:v>Σεπ</c:v>
                </c:pt>
                <c:pt idx="9">
                  <c:v>Οκτ</c:v>
                </c:pt>
                <c:pt idx="10">
                  <c:v>Νοε</c:v>
                </c:pt>
                <c:pt idx="11">
                  <c:v>Δεκ</c:v>
                </c:pt>
              </c:strCache>
            </c:strRef>
          </c:cat>
          <c:val>
            <c:numRef>
              <c:f>'Σταθερή παραγωγή στο ΜΟ'!$E$4:$E$15</c:f>
              <c:numCache>
                <c:formatCode>0</c:formatCode>
                <c:ptCount val="12"/>
                <c:pt idx="0">
                  <c:v>800</c:v>
                </c:pt>
                <c:pt idx="1">
                  <c:v>700</c:v>
                </c:pt>
                <c:pt idx="2">
                  <c:v>1200</c:v>
                </c:pt>
                <c:pt idx="3">
                  <c:v>1600</c:v>
                </c:pt>
                <c:pt idx="4">
                  <c:v>2200</c:v>
                </c:pt>
                <c:pt idx="5">
                  <c:v>2800</c:v>
                </c:pt>
                <c:pt idx="6">
                  <c:v>2700</c:v>
                </c:pt>
                <c:pt idx="7">
                  <c:v>1300</c:v>
                </c:pt>
                <c:pt idx="8">
                  <c:v>800</c:v>
                </c:pt>
                <c:pt idx="9">
                  <c:v>1800</c:v>
                </c:pt>
                <c:pt idx="10">
                  <c:v>2500</c:v>
                </c:pt>
                <c:pt idx="11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9-E749-A191-A23E4ED1A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0829807"/>
        <c:axId val="1210858303"/>
      </c:lineChart>
      <c:catAx>
        <c:axId val="121082980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210858303"/>
        <c:crosses val="autoZero"/>
        <c:auto val="1"/>
        <c:lblAlgn val="ctr"/>
        <c:lblOffset val="100"/>
        <c:noMultiLvlLbl val="0"/>
      </c:catAx>
      <c:valAx>
        <c:axId val="1210858303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210829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/>
              <a:t>SENSITIVITY</a:t>
            </a:r>
            <a:r>
              <a:rPr lang="en-US" sz="2400" baseline="0"/>
              <a:t>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Outsourcing!$T$21</c:f>
              <c:strCache>
                <c:ptCount val="1"/>
                <c:pt idx="0">
                  <c:v>Outsourcing</c:v>
                </c:pt>
              </c:strCache>
            </c:strRef>
          </c:tx>
          <c:spPr>
            <a:ln w="50800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Outsourcing!$P$23:$P$54</c:f>
              <c:numCache>
                <c:formatCode>#,##0.00\ "€"</c:formatCode>
                <c:ptCount val="3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  <c:pt idx="12">
                  <c:v>325</c:v>
                </c:pt>
                <c:pt idx="13">
                  <c:v>350</c:v>
                </c:pt>
                <c:pt idx="14">
                  <c:v>375</c:v>
                </c:pt>
                <c:pt idx="15">
                  <c:v>400</c:v>
                </c:pt>
                <c:pt idx="16">
                  <c:v>425</c:v>
                </c:pt>
                <c:pt idx="17">
                  <c:v>450</c:v>
                </c:pt>
                <c:pt idx="18">
                  <c:v>475</c:v>
                </c:pt>
                <c:pt idx="19">
                  <c:v>500</c:v>
                </c:pt>
                <c:pt idx="20">
                  <c:v>525</c:v>
                </c:pt>
                <c:pt idx="21">
                  <c:v>550</c:v>
                </c:pt>
                <c:pt idx="22">
                  <c:v>575</c:v>
                </c:pt>
                <c:pt idx="23">
                  <c:v>600</c:v>
                </c:pt>
                <c:pt idx="24">
                  <c:v>625</c:v>
                </c:pt>
                <c:pt idx="25">
                  <c:v>650</c:v>
                </c:pt>
                <c:pt idx="26">
                  <c:v>675</c:v>
                </c:pt>
                <c:pt idx="27">
                  <c:v>700</c:v>
                </c:pt>
                <c:pt idx="28">
                  <c:v>725</c:v>
                </c:pt>
                <c:pt idx="29">
                  <c:v>750</c:v>
                </c:pt>
                <c:pt idx="30">
                  <c:v>775</c:v>
                </c:pt>
                <c:pt idx="31">
                  <c:v>800</c:v>
                </c:pt>
              </c:numCache>
            </c:numRef>
          </c:cat>
          <c:val>
            <c:numRef>
              <c:f>Outsourcing!$T$23:$T$54</c:f>
              <c:numCache>
                <c:formatCode>#,##0.00\ "€"</c:formatCode>
                <c:ptCount val="32"/>
                <c:pt idx="0">
                  <c:v>10053960</c:v>
                </c:pt>
                <c:pt idx="1">
                  <c:v>10029310</c:v>
                </c:pt>
                <c:pt idx="2">
                  <c:v>10004660</c:v>
                </c:pt>
                <c:pt idx="3">
                  <c:v>9980010</c:v>
                </c:pt>
                <c:pt idx="4">
                  <c:v>9955360</c:v>
                </c:pt>
                <c:pt idx="5">
                  <c:v>9930710</c:v>
                </c:pt>
                <c:pt idx="6">
                  <c:v>9906060</c:v>
                </c:pt>
                <c:pt idx="7">
                  <c:v>9881410</c:v>
                </c:pt>
                <c:pt idx="8">
                  <c:v>9856760</c:v>
                </c:pt>
                <c:pt idx="9">
                  <c:v>9832110</c:v>
                </c:pt>
                <c:pt idx="10">
                  <c:v>9807460</c:v>
                </c:pt>
                <c:pt idx="11">
                  <c:v>9782810</c:v>
                </c:pt>
                <c:pt idx="12">
                  <c:v>9758160</c:v>
                </c:pt>
                <c:pt idx="13">
                  <c:v>9733510</c:v>
                </c:pt>
                <c:pt idx="14">
                  <c:v>9708860</c:v>
                </c:pt>
                <c:pt idx="15">
                  <c:v>9684210</c:v>
                </c:pt>
                <c:pt idx="16">
                  <c:v>9659560</c:v>
                </c:pt>
                <c:pt idx="17">
                  <c:v>9634910</c:v>
                </c:pt>
                <c:pt idx="18">
                  <c:v>9610260</c:v>
                </c:pt>
                <c:pt idx="19">
                  <c:v>9585610</c:v>
                </c:pt>
                <c:pt idx="20">
                  <c:v>9560960</c:v>
                </c:pt>
                <c:pt idx="21">
                  <c:v>9536310</c:v>
                </c:pt>
                <c:pt idx="22">
                  <c:v>9511660</c:v>
                </c:pt>
                <c:pt idx="23">
                  <c:v>9487010</c:v>
                </c:pt>
                <c:pt idx="24">
                  <c:v>9462360</c:v>
                </c:pt>
                <c:pt idx="25">
                  <c:v>9437710</c:v>
                </c:pt>
                <c:pt idx="26">
                  <c:v>9413060</c:v>
                </c:pt>
                <c:pt idx="27">
                  <c:v>9388410</c:v>
                </c:pt>
                <c:pt idx="28">
                  <c:v>9363760</c:v>
                </c:pt>
                <c:pt idx="29">
                  <c:v>9339110</c:v>
                </c:pt>
                <c:pt idx="30">
                  <c:v>9314460</c:v>
                </c:pt>
                <c:pt idx="31">
                  <c:v>9289810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C9-164F-A2BB-E16A49FB666C}"/>
            </c:ext>
          </c:extLst>
        </c:ser>
        <c:ser>
          <c:idx val="2"/>
          <c:order val="1"/>
          <c:tx>
            <c:strRef>
              <c:f>Outsourcing!$U$21</c:f>
              <c:strCache>
                <c:ptCount val="1"/>
                <c:pt idx="0">
                  <c:v>MO</c:v>
                </c:pt>
              </c:strCache>
            </c:strRef>
          </c:tx>
          <c:spPr>
            <a:ln w="50800" cap="rnd"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Outsourcing!$P$23:$P$54</c:f>
              <c:numCache>
                <c:formatCode>#,##0.00\ "€"</c:formatCode>
                <c:ptCount val="3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  <c:pt idx="12">
                  <c:v>325</c:v>
                </c:pt>
                <c:pt idx="13">
                  <c:v>350</c:v>
                </c:pt>
                <c:pt idx="14">
                  <c:v>375</c:v>
                </c:pt>
                <c:pt idx="15">
                  <c:v>400</c:v>
                </c:pt>
                <c:pt idx="16">
                  <c:v>425</c:v>
                </c:pt>
                <c:pt idx="17">
                  <c:v>450</c:v>
                </c:pt>
                <c:pt idx="18">
                  <c:v>475</c:v>
                </c:pt>
                <c:pt idx="19">
                  <c:v>500</c:v>
                </c:pt>
                <c:pt idx="20">
                  <c:v>525</c:v>
                </c:pt>
                <c:pt idx="21">
                  <c:v>550</c:v>
                </c:pt>
                <c:pt idx="22">
                  <c:v>575</c:v>
                </c:pt>
                <c:pt idx="23">
                  <c:v>600</c:v>
                </c:pt>
                <c:pt idx="24">
                  <c:v>625</c:v>
                </c:pt>
                <c:pt idx="25">
                  <c:v>650</c:v>
                </c:pt>
                <c:pt idx="26">
                  <c:v>675</c:v>
                </c:pt>
                <c:pt idx="27">
                  <c:v>700</c:v>
                </c:pt>
                <c:pt idx="28">
                  <c:v>725</c:v>
                </c:pt>
                <c:pt idx="29">
                  <c:v>750</c:v>
                </c:pt>
                <c:pt idx="30">
                  <c:v>775</c:v>
                </c:pt>
                <c:pt idx="31">
                  <c:v>800</c:v>
                </c:pt>
              </c:numCache>
            </c:numRef>
          </c:cat>
          <c:val>
            <c:numRef>
              <c:f>Outsourcing!$U$23:$U$54</c:f>
              <c:numCache>
                <c:formatCode>#,##0.00\ "€"</c:formatCode>
                <c:ptCount val="32"/>
                <c:pt idx="0">
                  <c:v>7482600</c:v>
                </c:pt>
                <c:pt idx="1">
                  <c:v>7482600</c:v>
                </c:pt>
                <c:pt idx="2">
                  <c:v>7482600</c:v>
                </c:pt>
                <c:pt idx="3">
                  <c:v>7482600</c:v>
                </c:pt>
                <c:pt idx="4">
                  <c:v>7482600</c:v>
                </c:pt>
                <c:pt idx="5">
                  <c:v>7482600</c:v>
                </c:pt>
                <c:pt idx="6">
                  <c:v>7482600</c:v>
                </c:pt>
                <c:pt idx="7">
                  <c:v>7482600</c:v>
                </c:pt>
                <c:pt idx="8">
                  <c:v>7482600</c:v>
                </c:pt>
                <c:pt idx="9">
                  <c:v>7482600</c:v>
                </c:pt>
                <c:pt idx="10">
                  <c:v>7482600</c:v>
                </c:pt>
                <c:pt idx="11">
                  <c:v>7482600</c:v>
                </c:pt>
                <c:pt idx="12">
                  <c:v>7482600</c:v>
                </c:pt>
                <c:pt idx="13">
                  <c:v>7482600</c:v>
                </c:pt>
                <c:pt idx="14">
                  <c:v>7482600</c:v>
                </c:pt>
                <c:pt idx="15">
                  <c:v>7482600</c:v>
                </c:pt>
                <c:pt idx="16">
                  <c:v>7482600</c:v>
                </c:pt>
                <c:pt idx="17">
                  <c:v>7482600</c:v>
                </c:pt>
                <c:pt idx="18">
                  <c:v>7482600</c:v>
                </c:pt>
                <c:pt idx="19">
                  <c:v>7482600</c:v>
                </c:pt>
                <c:pt idx="20">
                  <c:v>7482600</c:v>
                </c:pt>
                <c:pt idx="21">
                  <c:v>7482600</c:v>
                </c:pt>
                <c:pt idx="22">
                  <c:v>7482600</c:v>
                </c:pt>
                <c:pt idx="23">
                  <c:v>7482600</c:v>
                </c:pt>
                <c:pt idx="24">
                  <c:v>7482600</c:v>
                </c:pt>
                <c:pt idx="25">
                  <c:v>7482600</c:v>
                </c:pt>
                <c:pt idx="26">
                  <c:v>7482600</c:v>
                </c:pt>
                <c:pt idx="27">
                  <c:v>7482600</c:v>
                </c:pt>
                <c:pt idx="28">
                  <c:v>7482600</c:v>
                </c:pt>
                <c:pt idx="29">
                  <c:v>7482600</c:v>
                </c:pt>
                <c:pt idx="30">
                  <c:v>7482600</c:v>
                </c:pt>
                <c:pt idx="31">
                  <c:v>7482600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9-164F-A2BB-E16A49FB666C}"/>
            </c:ext>
          </c:extLst>
        </c:ser>
        <c:ser>
          <c:idx val="3"/>
          <c:order val="2"/>
          <c:tx>
            <c:strRef>
              <c:f>Outsourcing!$V$21</c:f>
              <c:strCache>
                <c:ptCount val="1"/>
                <c:pt idx="0">
                  <c:v>MAX</c:v>
                </c:pt>
              </c:strCache>
            </c:strRef>
          </c:tx>
          <c:spPr>
            <a:ln w="50800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Outsourcing!$P$23:$P$54</c:f>
              <c:numCache>
                <c:formatCode>#,##0.00\ "€"</c:formatCode>
                <c:ptCount val="3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  <c:pt idx="12">
                  <c:v>325</c:v>
                </c:pt>
                <c:pt idx="13">
                  <c:v>350</c:v>
                </c:pt>
                <c:pt idx="14">
                  <c:v>375</c:v>
                </c:pt>
                <c:pt idx="15">
                  <c:v>400</c:v>
                </c:pt>
                <c:pt idx="16">
                  <c:v>425</c:v>
                </c:pt>
                <c:pt idx="17">
                  <c:v>450</c:v>
                </c:pt>
                <c:pt idx="18">
                  <c:v>475</c:v>
                </c:pt>
                <c:pt idx="19">
                  <c:v>500</c:v>
                </c:pt>
                <c:pt idx="20">
                  <c:v>525</c:v>
                </c:pt>
                <c:pt idx="21">
                  <c:v>550</c:v>
                </c:pt>
                <c:pt idx="22">
                  <c:v>575</c:v>
                </c:pt>
                <c:pt idx="23">
                  <c:v>600</c:v>
                </c:pt>
                <c:pt idx="24">
                  <c:v>625</c:v>
                </c:pt>
                <c:pt idx="25">
                  <c:v>650</c:v>
                </c:pt>
                <c:pt idx="26">
                  <c:v>675</c:v>
                </c:pt>
                <c:pt idx="27">
                  <c:v>700</c:v>
                </c:pt>
                <c:pt idx="28">
                  <c:v>725</c:v>
                </c:pt>
                <c:pt idx="29">
                  <c:v>750</c:v>
                </c:pt>
                <c:pt idx="30">
                  <c:v>775</c:v>
                </c:pt>
                <c:pt idx="31">
                  <c:v>800</c:v>
                </c:pt>
              </c:numCache>
            </c:numRef>
          </c:cat>
          <c:val>
            <c:numRef>
              <c:f>Outsourcing!$V$23:$V$54</c:f>
              <c:numCache>
                <c:formatCode>#,##0.00\ "€"</c:formatCode>
                <c:ptCount val="32"/>
                <c:pt idx="0">
                  <c:v>8501010</c:v>
                </c:pt>
                <c:pt idx="1">
                  <c:v>8501010</c:v>
                </c:pt>
                <c:pt idx="2">
                  <c:v>8501010</c:v>
                </c:pt>
                <c:pt idx="3">
                  <c:v>8501010</c:v>
                </c:pt>
                <c:pt idx="4">
                  <c:v>8501010</c:v>
                </c:pt>
                <c:pt idx="5">
                  <c:v>8501010</c:v>
                </c:pt>
                <c:pt idx="6">
                  <c:v>8501010</c:v>
                </c:pt>
                <c:pt idx="7">
                  <c:v>8501010</c:v>
                </c:pt>
                <c:pt idx="8">
                  <c:v>8501010</c:v>
                </c:pt>
                <c:pt idx="9">
                  <c:v>8501010</c:v>
                </c:pt>
                <c:pt idx="10">
                  <c:v>8501010</c:v>
                </c:pt>
                <c:pt idx="11">
                  <c:v>8501010</c:v>
                </c:pt>
                <c:pt idx="12">
                  <c:v>8501010</c:v>
                </c:pt>
                <c:pt idx="13">
                  <c:v>8501010</c:v>
                </c:pt>
                <c:pt idx="14">
                  <c:v>8501010</c:v>
                </c:pt>
                <c:pt idx="15">
                  <c:v>8501010</c:v>
                </c:pt>
                <c:pt idx="16">
                  <c:v>8501010</c:v>
                </c:pt>
                <c:pt idx="17">
                  <c:v>8501010</c:v>
                </c:pt>
                <c:pt idx="18">
                  <c:v>8501010</c:v>
                </c:pt>
                <c:pt idx="19">
                  <c:v>8501010</c:v>
                </c:pt>
                <c:pt idx="20">
                  <c:v>8501010</c:v>
                </c:pt>
                <c:pt idx="21">
                  <c:v>8501010</c:v>
                </c:pt>
                <c:pt idx="22">
                  <c:v>8501010</c:v>
                </c:pt>
                <c:pt idx="23">
                  <c:v>8501010</c:v>
                </c:pt>
                <c:pt idx="24">
                  <c:v>8501010</c:v>
                </c:pt>
                <c:pt idx="25">
                  <c:v>8501010</c:v>
                </c:pt>
                <c:pt idx="26">
                  <c:v>8501010</c:v>
                </c:pt>
                <c:pt idx="27">
                  <c:v>8501010</c:v>
                </c:pt>
                <c:pt idx="28">
                  <c:v>8501010</c:v>
                </c:pt>
                <c:pt idx="29">
                  <c:v>8501010</c:v>
                </c:pt>
                <c:pt idx="30">
                  <c:v>8501010</c:v>
                </c:pt>
                <c:pt idx="31">
                  <c:v>8501010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C9-164F-A2BB-E16A49FB666C}"/>
            </c:ext>
          </c:extLst>
        </c:ser>
        <c:ser>
          <c:idx val="4"/>
          <c:order val="3"/>
          <c:tx>
            <c:strRef>
              <c:f>Outsourcing!$W$21</c:f>
              <c:strCache>
                <c:ptCount val="1"/>
                <c:pt idx="0">
                  <c:v>ΥΠΕΡΩΡΙΕΣ</c:v>
                </c:pt>
              </c:strCache>
            </c:strRef>
          </c:tx>
          <c:spPr>
            <a:ln w="50800" cap="rnd">
              <a:solidFill>
                <a:schemeClr val="accent5"/>
              </a:solidFill>
            </a:ln>
            <a:effectLst>
              <a:glow rad="139700">
                <a:schemeClr val="accent5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Outsourcing!$P$23:$P$54</c:f>
              <c:numCache>
                <c:formatCode>#,##0.00\ "€"</c:formatCode>
                <c:ptCount val="32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  <c:pt idx="6">
                  <c:v>175</c:v>
                </c:pt>
                <c:pt idx="7">
                  <c:v>200</c:v>
                </c:pt>
                <c:pt idx="8">
                  <c:v>225</c:v>
                </c:pt>
                <c:pt idx="9">
                  <c:v>250</c:v>
                </c:pt>
                <c:pt idx="10">
                  <c:v>275</c:v>
                </c:pt>
                <c:pt idx="11">
                  <c:v>300</c:v>
                </c:pt>
                <c:pt idx="12">
                  <c:v>325</c:v>
                </c:pt>
                <c:pt idx="13">
                  <c:v>350</c:v>
                </c:pt>
                <c:pt idx="14">
                  <c:v>375</c:v>
                </c:pt>
                <c:pt idx="15">
                  <c:v>400</c:v>
                </c:pt>
                <c:pt idx="16">
                  <c:v>425</c:v>
                </c:pt>
                <c:pt idx="17">
                  <c:v>450</c:v>
                </c:pt>
                <c:pt idx="18">
                  <c:v>475</c:v>
                </c:pt>
                <c:pt idx="19">
                  <c:v>500</c:v>
                </c:pt>
                <c:pt idx="20">
                  <c:v>525</c:v>
                </c:pt>
                <c:pt idx="21">
                  <c:v>550</c:v>
                </c:pt>
                <c:pt idx="22">
                  <c:v>575</c:v>
                </c:pt>
                <c:pt idx="23">
                  <c:v>600</c:v>
                </c:pt>
                <c:pt idx="24">
                  <c:v>625</c:v>
                </c:pt>
                <c:pt idx="25">
                  <c:v>650</c:v>
                </c:pt>
                <c:pt idx="26">
                  <c:v>675</c:v>
                </c:pt>
                <c:pt idx="27">
                  <c:v>700</c:v>
                </c:pt>
                <c:pt idx="28">
                  <c:v>725</c:v>
                </c:pt>
                <c:pt idx="29">
                  <c:v>750</c:v>
                </c:pt>
                <c:pt idx="30">
                  <c:v>775</c:v>
                </c:pt>
                <c:pt idx="31">
                  <c:v>800</c:v>
                </c:pt>
              </c:numCache>
            </c:numRef>
          </c:cat>
          <c:val>
            <c:numRef>
              <c:f>Outsourcing!$W$23:$W$54</c:f>
              <c:numCache>
                <c:formatCode>#,##0.00\ "€"</c:formatCode>
                <c:ptCount val="32"/>
                <c:pt idx="0">
                  <c:v>9537268.9695116151</c:v>
                </c:pt>
                <c:pt idx="1">
                  <c:v>9537268.9695116151</c:v>
                </c:pt>
                <c:pt idx="2">
                  <c:v>9537268.9695116151</c:v>
                </c:pt>
                <c:pt idx="3">
                  <c:v>9537268.9695116151</c:v>
                </c:pt>
                <c:pt idx="4">
                  <c:v>9537268.9695116151</c:v>
                </c:pt>
                <c:pt idx="5">
                  <c:v>9537268.9695116151</c:v>
                </c:pt>
                <c:pt idx="6">
                  <c:v>9537268.9695116151</c:v>
                </c:pt>
                <c:pt idx="7">
                  <c:v>9537268.9695116151</c:v>
                </c:pt>
                <c:pt idx="8">
                  <c:v>9537268.9695116151</c:v>
                </c:pt>
                <c:pt idx="9">
                  <c:v>9537268.9695116151</c:v>
                </c:pt>
                <c:pt idx="10">
                  <c:v>9537268.9695116151</c:v>
                </c:pt>
                <c:pt idx="11">
                  <c:v>9537268.9695116151</c:v>
                </c:pt>
                <c:pt idx="12">
                  <c:v>9537268.9695116151</c:v>
                </c:pt>
                <c:pt idx="13">
                  <c:v>9537268.9695116151</c:v>
                </c:pt>
                <c:pt idx="14">
                  <c:v>9537268.9695116151</c:v>
                </c:pt>
                <c:pt idx="15">
                  <c:v>9537268.9695116151</c:v>
                </c:pt>
                <c:pt idx="16">
                  <c:v>9537268.9695116151</c:v>
                </c:pt>
                <c:pt idx="17">
                  <c:v>9537268.9695116151</c:v>
                </c:pt>
                <c:pt idx="18">
                  <c:v>9537268.9695116151</c:v>
                </c:pt>
                <c:pt idx="19">
                  <c:v>9537268.9695116151</c:v>
                </c:pt>
                <c:pt idx="20">
                  <c:v>9537268.9695116151</c:v>
                </c:pt>
                <c:pt idx="21">
                  <c:v>9537268.9695116151</c:v>
                </c:pt>
                <c:pt idx="22">
                  <c:v>9537268.9695116151</c:v>
                </c:pt>
                <c:pt idx="23">
                  <c:v>9537268.9695116151</c:v>
                </c:pt>
                <c:pt idx="24">
                  <c:v>9537268.9695116151</c:v>
                </c:pt>
                <c:pt idx="25">
                  <c:v>9537268.9695116151</c:v>
                </c:pt>
                <c:pt idx="26">
                  <c:v>9537268.9695116151</c:v>
                </c:pt>
                <c:pt idx="27">
                  <c:v>9537268.9695116151</c:v>
                </c:pt>
                <c:pt idx="28">
                  <c:v>9537268.9695116151</c:v>
                </c:pt>
                <c:pt idx="29">
                  <c:v>9537268.9695116151</c:v>
                </c:pt>
                <c:pt idx="30">
                  <c:v>9537268.9695116151</c:v>
                </c:pt>
                <c:pt idx="31">
                  <c:v>9537268.9695116151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C9-164F-A2BB-E16A49FB6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0479536"/>
        <c:axId val="144087728"/>
      </c:lineChart>
      <c:catAx>
        <c:axId val="13204795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264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44087728"/>
        <c:crosses val="autoZero"/>
        <c:auto val="1"/>
        <c:lblAlgn val="ctr"/>
        <c:lblOffset val="100"/>
        <c:noMultiLvlLbl val="0"/>
      </c:catAx>
      <c:valAx>
        <c:axId val="14408772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GR"/>
          </a:p>
        </c:txPr>
        <c:crossAx val="132047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G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32</xdr:row>
      <xdr:rowOff>193675</xdr:rowOff>
    </xdr:from>
    <xdr:to>
      <xdr:col>27</xdr:col>
      <xdr:colOff>603250</xdr:colOff>
      <xdr:row>51</xdr:row>
      <xdr:rowOff>209550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15DED6C-3129-92A6-9020-ED9BF48A9B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612776</xdr:colOff>
      <xdr:row>10</xdr:row>
      <xdr:rowOff>63499</xdr:rowOff>
    </xdr:from>
    <xdr:to>
      <xdr:col>20</xdr:col>
      <xdr:colOff>476250</xdr:colOff>
      <xdr:row>20</xdr:row>
      <xdr:rowOff>111125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E64E04C-0A85-14BD-3C99-F567E1B0DA53}"/>
            </a:ext>
          </a:extLst>
        </xdr:cNvPr>
        <xdr:cNvSpPr txBox="1"/>
      </xdr:nvSpPr>
      <xdr:spPr>
        <a:xfrm>
          <a:off x="3486151" y="2730499"/>
          <a:ext cx="9769474" cy="2746376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Οριζόντιος Άξονας (</a:t>
          </a:r>
          <a:r>
            <a:rPr lang="en-GB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x-axis):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Αντιπροσωπεύει την εμπειρία ή τον αριθμό επαναλήψεων (π.χ., </a:t>
          </a:r>
          <a:r>
            <a:rPr lang="el-GR" sz="2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ώρες εκπαίδευσης/κατασκευής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l-GR" sz="2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αριθμός παραγωγικών μονάδων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</a:p>
        <a:p>
          <a:endParaRPr lang="el-GR" sz="24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Κάθετος Άξονας (</a:t>
          </a:r>
          <a:r>
            <a:rPr lang="en-GB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y-axis):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Αντιπροσωπεύει την απόδοση, την παραγωγικότητα, το </a:t>
          </a:r>
          <a:r>
            <a:rPr lang="el-GR" sz="2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κόστος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ανά μονάδα ή τον </a:t>
          </a:r>
          <a:r>
            <a:rPr lang="el-GR" sz="24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ολοκλήρωσης μιας εργασίας.</a:t>
          </a:r>
        </a:p>
        <a:p>
          <a:endParaRPr lang="en-GB" sz="1100" kern="1200"/>
        </a:p>
      </xdr:txBody>
    </xdr:sp>
    <xdr:clientData/>
  </xdr:twoCellAnchor>
  <xdr:twoCellAnchor>
    <xdr:from>
      <xdr:col>4</xdr:col>
      <xdr:colOff>650875</xdr:colOff>
      <xdr:row>1</xdr:row>
      <xdr:rowOff>63500</xdr:rowOff>
    </xdr:from>
    <xdr:to>
      <xdr:col>20</xdr:col>
      <xdr:colOff>603250</xdr:colOff>
      <xdr:row>9</xdr:row>
      <xdr:rowOff>158750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3551850A-5910-0B90-AEBA-1ACE819512A6}"/>
            </a:ext>
          </a:extLst>
        </xdr:cNvPr>
        <xdr:cNvSpPr/>
      </xdr:nvSpPr>
      <xdr:spPr>
        <a:xfrm>
          <a:off x="3778250" y="254000"/>
          <a:ext cx="10620375" cy="2174875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Η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καμπύλη εκμάθησης (</a:t>
          </a:r>
          <a:r>
            <a:rPr lang="en-GB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learning curve)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είναι ένα εργαλείο που δείχνει πώς η απόδοση ή η αποτελεσματικότητα ενός ατόμου, ομάδας ή συστήματος βελτιώνεται καθώς αποκτούν περισσότερη εμπειρία ή επαναλαμβάνουν μια διαδικασία. Χρησιμοποιείται ευρέως σε τομείς όπως τα οικονομικά, η βιομηχανία, η εκπαίδευση και η τεχνητή νοημοσύνη.</a:t>
          </a:r>
        </a:p>
        <a:p>
          <a:pPr algn="l"/>
          <a:endParaRPr lang="en-GB" sz="1100" kern="1200"/>
        </a:p>
      </xdr:txBody>
    </xdr:sp>
    <xdr:clientData/>
  </xdr:twoCellAnchor>
  <xdr:twoCellAnchor>
    <xdr:from>
      <xdr:col>5</xdr:col>
      <xdr:colOff>15874</xdr:colOff>
      <xdr:row>20</xdr:row>
      <xdr:rowOff>254001</xdr:rowOff>
    </xdr:from>
    <xdr:to>
      <xdr:col>21</xdr:col>
      <xdr:colOff>587374</xdr:colOff>
      <xdr:row>32</xdr:row>
      <xdr:rowOff>79375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4D2AA065-598D-59F4-3A32-50929C7E4144}"/>
            </a:ext>
          </a:extLst>
        </xdr:cNvPr>
        <xdr:cNvSpPr/>
      </xdr:nvSpPr>
      <xdr:spPr>
        <a:xfrm>
          <a:off x="3508374" y="5619751"/>
          <a:ext cx="10477500" cy="3063874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Βασικά Χαρακτηριστικά:</a:t>
          </a:r>
          <a:endParaRPr lang="el-GR" sz="2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Μείωση Κόστους/Χρόνου: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Όσο επαναλαμβάνεται μια εργασία, απαιτείται λιγότερος χρόνος ή κόστος για την ολοκλήρωσή της.</a:t>
          </a:r>
        </a:p>
        <a:p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Αρχική Ταχεία Βελτίωση: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Στα πρώτα στάδια, η απόδοση βελτιώνεται γρήγορα.</a:t>
          </a:r>
        </a:p>
        <a:p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Μείωση Ρυθμού Βελτίωσης: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Με την πάροδο του χρόνου, η πρόοδος γίνεται πιο αργή, καθώς φτάνουμε κοντά στο βέλτιστο.</a:t>
          </a:r>
        </a:p>
        <a:p>
          <a:pPr algn="l"/>
          <a:endParaRPr lang="en-GB" sz="1100" kern="1200"/>
        </a:p>
      </xdr:txBody>
    </xdr:sp>
    <xdr:clientData/>
  </xdr:twoCellAnchor>
  <xdr:twoCellAnchor>
    <xdr:from>
      <xdr:col>22</xdr:col>
      <xdr:colOff>0</xdr:colOff>
      <xdr:row>1</xdr:row>
      <xdr:rowOff>190500</xdr:rowOff>
    </xdr:from>
    <xdr:to>
      <xdr:col>32</xdr:col>
      <xdr:colOff>95250</xdr:colOff>
      <xdr:row>9</xdr:row>
      <xdr:rowOff>15875</xdr:rowOff>
    </xdr:to>
    <xdr:sp macro="" textlink="">
      <xdr:nvSpPr>
        <xdr:cNvPr id="8" name="Rounded Rectangle 7">
          <a:extLst>
            <a:ext uri="{FF2B5EF4-FFF2-40B4-BE49-F238E27FC236}">
              <a16:creationId xmlns:a16="http://schemas.microsoft.com/office/drawing/2014/main" id="{D4C8A90A-7396-E676-92D9-ECA122F9745F}"/>
            </a:ext>
          </a:extLst>
        </xdr:cNvPr>
        <xdr:cNvSpPr/>
      </xdr:nvSpPr>
      <xdr:spPr>
        <a:xfrm>
          <a:off x="15128875" y="381000"/>
          <a:ext cx="6762750" cy="190500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είναι 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εκθετικός συντελεστής (</a:t>
          </a:r>
          <a:r>
            <a:rPr lang="en-GB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learning rate exponent)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και καθορίζει τον ρυθμό μείωσης του χρόνου ή του κόστους καθώς αυξάνεται η εμπειρία ή η παραγωγή.</a:t>
          </a:r>
        </a:p>
        <a:p>
          <a:pPr algn="l"/>
          <a:endParaRPr lang="en-GB" sz="1100" kern="1200"/>
        </a:p>
      </xdr:txBody>
    </xdr:sp>
    <xdr:clientData/>
  </xdr:twoCellAnchor>
  <xdr:twoCellAnchor>
    <xdr:from>
      <xdr:col>21</xdr:col>
      <xdr:colOff>650875</xdr:colOff>
      <xdr:row>9</xdr:row>
      <xdr:rowOff>269874</xdr:rowOff>
    </xdr:from>
    <xdr:to>
      <xdr:col>33</xdr:col>
      <xdr:colOff>31750</xdr:colOff>
      <xdr:row>19</xdr:row>
      <xdr:rowOff>238125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2153646-E89E-0F45-972C-E317DEDCB4F7}"/>
            </a:ext>
          </a:extLst>
        </xdr:cNvPr>
        <xdr:cNvSpPr/>
      </xdr:nvSpPr>
      <xdr:spPr>
        <a:xfrm>
          <a:off x="15113000" y="2539999"/>
          <a:ext cx="7381875" cy="2667001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Αν </a:t>
          </a:r>
          <a:r>
            <a:rPr lang="en-GB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&lt; 0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χρόνος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ή το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κόστος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μειώνεται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καθώς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αυξάνεται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η εμπειρία/παραγωγικές μονάδες.</a:t>
          </a:r>
        </a:p>
        <a:p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Όσο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πιο κοντά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στο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είναι το 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b,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τόσο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μικρότερη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είναι η </a:t>
          </a:r>
          <a:r>
            <a:rPr lang="el-GR" sz="24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βελτίωση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Όσο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πιο αρνητικό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είναι το </a:t>
          </a:r>
          <a:r>
            <a:rPr lang="en-GB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b, 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τόσο </a:t>
          </a:r>
          <a:r>
            <a:rPr lang="el-G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ταχύτερη</a:t>
          </a:r>
          <a:r>
            <a:rPr lang="el-GR" sz="2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η βελτίωση.</a:t>
          </a:r>
        </a:p>
        <a:p>
          <a:pPr algn="l"/>
          <a:endParaRPr lang="en-GB" sz="1100" kern="1200"/>
        </a:p>
      </xdr:txBody>
    </xdr:sp>
    <xdr:clientData/>
  </xdr:twoCellAnchor>
  <xdr:twoCellAnchor>
    <xdr:from>
      <xdr:col>22</xdr:col>
      <xdr:colOff>206375</xdr:colOff>
      <xdr:row>21</xdr:row>
      <xdr:rowOff>238125</xdr:rowOff>
    </xdr:from>
    <xdr:to>
      <xdr:col>29</xdr:col>
      <xdr:colOff>158750</xdr:colOff>
      <xdr:row>24</xdr:row>
      <xdr:rowOff>238125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72FD8AB3-2F65-4B77-311A-FC1BF6220E1A}"/>
            </a:ext>
          </a:extLst>
        </xdr:cNvPr>
        <xdr:cNvSpPr/>
      </xdr:nvSpPr>
      <xdr:spPr>
        <a:xfrm>
          <a:off x="14224000" y="5873750"/>
          <a:ext cx="4286250" cy="80962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4000" b="1" kern="1200"/>
            <a:t>Tn=Tm(n/m)^(-b)</a:t>
          </a:r>
          <a:endParaRPr lang="en-GB" sz="4000" b="1" kern="1200"/>
        </a:p>
      </xdr:txBody>
    </xdr:sp>
    <xdr:clientData/>
  </xdr:twoCellAnchor>
  <xdr:twoCellAnchor>
    <xdr:from>
      <xdr:col>22</xdr:col>
      <xdr:colOff>222251</xdr:colOff>
      <xdr:row>25</xdr:row>
      <xdr:rowOff>142875</xdr:rowOff>
    </xdr:from>
    <xdr:to>
      <xdr:col>28</xdr:col>
      <xdr:colOff>508000</xdr:colOff>
      <xdr:row>28</xdr:row>
      <xdr:rowOff>142875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EF26F712-A66A-EB43-8B02-AEC73DCFB1F6}"/>
            </a:ext>
          </a:extLst>
        </xdr:cNvPr>
        <xdr:cNvSpPr/>
      </xdr:nvSpPr>
      <xdr:spPr>
        <a:xfrm>
          <a:off x="14239876" y="6858000"/>
          <a:ext cx="4000499" cy="80962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4000" b="1" kern="1200"/>
            <a:t>Tn=T</a:t>
          </a:r>
          <a:r>
            <a:rPr lang="en-US" sz="3200" b="1" kern="1200"/>
            <a:t>1</a:t>
          </a:r>
          <a:r>
            <a:rPr lang="en-US" sz="4000" b="1" kern="1200"/>
            <a:t>(n</a:t>
          </a:r>
          <a:r>
            <a:rPr lang="en-US" sz="3200" b="1" kern="1200"/>
            <a:t>/1)^(-</a:t>
          </a:r>
          <a:r>
            <a:rPr lang="en-US" sz="4000" b="1" kern="1200"/>
            <a:t>b)</a:t>
          </a:r>
          <a:endParaRPr lang="en-GB" sz="4000" b="1" kern="1200"/>
        </a:p>
      </xdr:txBody>
    </xdr:sp>
    <xdr:clientData/>
  </xdr:twoCellAnchor>
  <xdr:twoCellAnchor editAs="oneCell">
    <xdr:from>
      <xdr:col>30</xdr:col>
      <xdr:colOff>52916</xdr:colOff>
      <xdr:row>23</xdr:row>
      <xdr:rowOff>31750</xdr:rowOff>
    </xdr:from>
    <xdr:to>
      <xdr:col>44</xdr:col>
      <xdr:colOff>50144</xdr:colOff>
      <xdr:row>25</xdr:row>
      <xdr:rowOff>57107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76AB91CD-B2B6-D848-5A04-BE583CDA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23541" y="6207125"/>
          <a:ext cx="8664978" cy="565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263070</xdr:colOff>
      <xdr:row>1</xdr:row>
      <xdr:rowOff>125186</xdr:rowOff>
    </xdr:from>
    <xdr:to>
      <xdr:col>29</xdr:col>
      <xdr:colOff>507998</xdr:colOff>
      <xdr:row>30</xdr:row>
      <xdr:rowOff>150586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D3F20F-85C7-E37E-B7CB-159D0283AC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172356</xdr:colOff>
      <xdr:row>34</xdr:row>
      <xdr:rowOff>181427</xdr:rowOff>
    </xdr:from>
    <xdr:to>
      <xdr:col>18</xdr:col>
      <xdr:colOff>798285</xdr:colOff>
      <xdr:row>60</xdr:row>
      <xdr:rowOff>72570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498ED96-C05A-D5B4-D54A-E7B7DF76E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662214</xdr:colOff>
      <xdr:row>20</xdr:row>
      <xdr:rowOff>125185</xdr:rowOff>
    </xdr:from>
    <xdr:to>
      <xdr:col>24</xdr:col>
      <xdr:colOff>562427</xdr:colOff>
      <xdr:row>50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ACF705-7240-F9E4-293A-62FEAB5779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898071</xdr:colOff>
      <xdr:row>27</xdr:row>
      <xdr:rowOff>52614</xdr:rowOff>
    </xdr:from>
    <xdr:to>
      <xdr:col>26</xdr:col>
      <xdr:colOff>272143</xdr:colOff>
      <xdr:row>56</xdr:row>
      <xdr:rowOff>145143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770AAD-8619-855B-4F5C-686889728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165100</xdr:rowOff>
    </xdr:from>
    <xdr:to>
      <xdr:col>16</xdr:col>
      <xdr:colOff>266700</xdr:colOff>
      <xdr:row>23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40E3DF-6E81-43D3-FDFA-34C8BC6389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571500</xdr:colOff>
      <xdr:row>24</xdr:row>
      <xdr:rowOff>76200</xdr:rowOff>
    </xdr:from>
    <xdr:to>
      <xdr:col>16</xdr:col>
      <xdr:colOff>406400</xdr:colOff>
      <xdr:row>55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104888-6EE8-1C40-BE9D-B0CF5F732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804332</xdr:colOff>
      <xdr:row>54</xdr:row>
      <xdr:rowOff>159455</xdr:rowOff>
    </xdr:from>
    <xdr:to>
      <xdr:col>25</xdr:col>
      <xdr:colOff>691444</xdr:colOff>
      <xdr:row>83</xdr:row>
      <xdr:rowOff>86077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83591C-3DDB-DFA7-9C00-25C132EE6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C5FE-EA1B-4105-8686-700D7E257935}">
  <dimension ref="A2:D172"/>
  <sheetViews>
    <sheetView zoomScale="40" zoomScaleNormal="40" workbookViewId="0">
      <selection activeCell="C4" sqref="C4"/>
    </sheetView>
  </sheetViews>
  <sheetFormatPr defaultColWidth="8.81640625" defaultRowHeight="14.5" x14ac:dyDescent="0.35"/>
  <cols>
    <col min="2" max="2" width="11.1796875" customWidth="1"/>
    <col min="3" max="3" width="12.36328125" customWidth="1"/>
  </cols>
  <sheetData>
    <row r="2" spans="1:4" ht="23.5" x14ac:dyDescent="0.55000000000000004">
      <c r="B2" s="146" t="s">
        <v>95</v>
      </c>
      <c r="C2" s="146">
        <v>0.08</v>
      </c>
    </row>
    <row r="3" spans="1:4" ht="23.5" x14ac:dyDescent="0.55000000000000004">
      <c r="B3" s="147" t="s">
        <v>96</v>
      </c>
      <c r="C3" s="147">
        <f>1-C2</f>
        <v>0.92</v>
      </c>
    </row>
    <row r="4" spans="1:4" ht="23.5" x14ac:dyDescent="0.55000000000000004">
      <c r="B4" s="147" t="s">
        <v>97</v>
      </c>
      <c r="C4" s="147">
        <f>-LN($C$3)/LN(2)</f>
        <v>0.12029423371771177</v>
      </c>
    </row>
    <row r="5" spans="1:4" ht="23.5" x14ac:dyDescent="0.55000000000000004">
      <c r="B5" s="147" t="s">
        <v>101</v>
      </c>
      <c r="C5" s="147">
        <v>4.4000000000000004</v>
      </c>
    </row>
    <row r="7" spans="1:4" ht="21" x14ac:dyDescent="0.5">
      <c r="B7" s="139" t="s">
        <v>98</v>
      </c>
      <c r="C7" s="139" t="s">
        <v>100</v>
      </c>
    </row>
    <row r="8" spans="1:4" ht="21" x14ac:dyDescent="0.5">
      <c r="A8" s="145" t="s">
        <v>99</v>
      </c>
      <c r="B8" s="140">
        <v>1</v>
      </c>
      <c r="C8" s="141">
        <f>$C$5*(B8/$B$8)^(-$C$4)</f>
        <v>4.4000000000000004</v>
      </c>
      <c r="D8" s="142"/>
    </row>
    <row r="9" spans="1:4" ht="21" x14ac:dyDescent="0.5">
      <c r="B9" s="143">
        <v>2</v>
      </c>
      <c r="C9" s="144">
        <f>$C$5*(B9/$B$8)^(-$C$4)</f>
        <v>4.0480000000000009</v>
      </c>
      <c r="D9" s="143" t="str">
        <f t="shared" ref="D9:D72" si="0">IF(MOD(LOG(B9,2),1)=0, "8%", " ")</f>
        <v>8%</v>
      </c>
    </row>
    <row r="10" spans="1:4" ht="21" x14ac:dyDescent="0.5">
      <c r="B10" s="140">
        <v>3</v>
      </c>
      <c r="C10" s="141">
        <f t="shared" ref="C10:C72" si="1">$C$5*(B10/$B$8)^(-$C$4)</f>
        <v>3.8552961158140224</v>
      </c>
      <c r="D10" s="142" t="str">
        <f t="shared" si="0"/>
        <v xml:space="preserve"> </v>
      </c>
    </row>
    <row r="11" spans="1:4" ht="21" x14ac:dyDescent="0.5">
      <c r="B11" s="143">
        <v>4</v>
      </c>
      <c r="C11" s="144">
        <f t="shared" si="1"/>
        <v>3.7241600000000004</v>
      </c>
      <c r="D11" s="143" t="str">
        <f t="shared" si="0"/>
        <v>8%</v>
      </c>
    </row>
    <row r="12" spans="1:4" ht="21" x14ac:dyDescent="0.5">
      <c r="B12" s="140">
        <v>5</v>
      </c>
      <c r="C12" s="141">
        <f t="shared" si="1"/>
        <v>3.6255225894812417</v>
      </c>
      <c r="D12" s="142" t="str">
        <f t="shared" si="0"/>
        <v xml:space="preserve"> </v>
      </c>
    </row>
    <row r="13" spans="1:4" ht="21" x14ac:dyDescent="0.5">
      <c r="B13" s="140">
        <v>6</v>
      </c>
      <c r="C13" s="141">
        <f t="shared" si="1"/>
        <v>3.5468724265489011</v>
      </c>
      <c r="D13" s="142" t="str">
        <f t="shared" si="0"/>
        <v xml:space="preserve"> </v>
      </c>
    </row>
    <row r="14" spans="1:4" ht="21" x14ac:dyDescent="0.5">
      <c r="B14" s="140">
        <v>7</v>
      </c>
      <c r="C14" s="141">
        <f t="shared" si="1"/>
        <v>3.4817072781764997</v>
      </c>
      <c r="D14" s="142" t="str">
        <f t="shared" si="0"/>
        <v xml:space="preserve"> </v>
      </c>
    </row>
    <row r="15" spans="1:4" ht="21" x14ac:dyDescent="0.5">
      <c r="B15" s="143">
        <v>8</v>
      </c>
      <c r="C15" s="144">
        <f t="shared" si="1"/>
        <v>3.4262272000000005</v>
      </c>
      <c r="D15" s="143" t="str">
        <f t="shared" si="0"/>
        <v>8%</v>
      </c>
    </row>
    <row r="16" spans="1:4" ht="21" x14ac:dyDescent="0.5">
      <c r="B16" s="140">
        <v>9</v>
      </c>
      <c r="C16" s="141">
        <f t="shared" si="1"/>
        <v>3.3780245774115198</v>
      </c>
      <c r="D16" s="142" t="str">
        <f t="shared" si="0"/>
        <v xml:space="preserve"> </v>
      </c>
    </row>
    <row r="17" spans="2:4" ht="21" x14ac:dyDescent="0.5">
      <c r="B17" s="140">
        <v>10</v>
      </c>
      <c r="C17" s="141">
        <f t="shared" si="1"/>
        <v>3.3354807823227426</v>
      </c>
      <c r="D17" s="142" t="str">
        <f t="shared" si="0"/>
        <v xml:space="preserve"> </v>
      </c>
    </row>
    <row r="18" spans="2:4" ht="21" x14ac:dyDescent="0.5">
      <c r="B18" s="140">
        <v>11</v>
      </c>
      <c r="C18" s="141">
        <f t="shared" si="1"/>
        <v>3.2974570039742912</v>
      </c>
      <c r="D18" s="142" t="str">
        <f t="shared" si="0"/>
        <v xml:space="preserve"> </v>
      </c>
    </row>
    <row r="19" spans="2:4" ht="21" x14ac:dyDescent="0.5">
      <c r="B19" s="140">
        <v>12</v>
      </c>
      <c r="C19" s="141">
        <f t="shared" si="1"/>
        <v>3.2631226324249889</v>
      </c>
      <c r="D19" s="142" t="str">
        <f t="shared" si="0"/>
        <v xml:space="preserve"> </v>
      </c>
    </row>
    <row r="20" spans="2:4" ht="21" x14ac:dyDescent="0.5">
      <c r="B20" s="140">
        <v>13</v>
      </c>
      <c r="C20" s="141">
        <f t="shared" si="1"/>
        <v>3.2318538612644723</v>
      </c>
      <c r="D20" s="142" t="str">
        <f t="shared" si="0"/>
        <v xml:space="preserve"> </v>
      </c>
    </row>
    <row r="21" spans="2:4" ht="21" x14ac:dyDescent="0.5">
      <c r="B21" s="140">
        <v>14</v>
      </c>
      <c r="C21" s="141">
        <f t="shared" si="1"/>
        <v>3.2031706959223794</v>
      </c>
      <c r="D21" s="142" t="str">
        <f t="shared" si="0"/>
        <v xml:space="preserve"> </v>
      </c>
    </row>
    <row r="22" spans="2:4" ht="21" x14ac:dyDescent="0.5">
      <c r="B22" s="140">
        <v>15</v>
      </c>
      <c r="C22" s="141">
        <f t="shared" si="1"/>
        <v>3.1766961720506877</v>
      </c>
      <c r="D22" s="142" t="str">
        <f t="shared" si="0"/>
        <v xml:space="preserve"> </v>
      </c>
    </row>
    <row r="23" spans="2:4" ht="21" x14ac:dyDescent="0.5">
      <c r="B23" s="143">
        <v>16</v>
      </c>
      <c r="C23" s="144">
        <f t="shared" si="1"/>
        <v>3.1521290240000006</v>
      </c>
      <c r="D23" s="143" t="str">
        <f t="shared" si="0"/>
        <v>8%</v>
      </c>
    </row>
    <row r="24" spans="2:4" ht="21" x14ac:dyDescent="0.5">
      <c r="B24" s="140">
        <v>17</v>
      </c>
      <c r="C24" s="141">
        <f t="shared" si="1"/>
        <v>3.1292248206418138</v>
      </c>
      <c r="D24" s="142" t="str">
        <f t="shared" si="0"/>
        <v xml:space="preserve"> </v>
      </c>
    </row>
    <row r="25" spans="2:4" ht="21" x14ac:dyDescent="0.5">
      <c r="B25" s="140">
        <v>18</v>
      </c>
      <c r="C25" s="141">
        <f t="shared" si="1"/>
        <v>3.1077826112185987</v>
      </c>
      <c r="D25" s="142" t="str">
        <f t="shared" si="0"/>
        <v xml:space="preserve"> </v>
      </c>
    </row>
    <row r="26" spans="2:4" ht="21" x14ac:dyDescent="0.5">
      <c r="B26" s="140">
        <v>19</v>
      </c>
      <c r="C26" s="141">
        <f t="shared" si="1"/>
        <v>3.0876352609121835</v>
      </c>
      <c r="D26" s="142" t="str">
        <f t="shared" si="0"/>
        <v xml:space="preserve"> </v>
      </c>
    </row>
    <row r="27" spans="2:4" ht="21" x14ac:dyDescent="0.5">
      <c r="B27" s="140">
        <v>20</v>
      </c>
      <c r="C27" s="141">
        <f t="shared" si="1"/>
        <v>3.0686423197369233</v>
      </c>
      <c r="D27" s="142" t="str">
        <f t="shared" si="0"/>
        <v xml:space="preserve"> </v>
      </c>
    </row>
    <row r="28" spans="2:4" ht="21" x14ac:dyDescent="0.5">
      <c r="B28" s="140">
        <v>21</v>
      </c>
      <c r="C28" s="141">
        <f t="shared" si="1"/>
        <v>3.0506846695352889</v>
      </c>
      <c r="D28" s="142" t="str">
        <f t="shared" si="0"/>
        <v xml:space="preserve"> </v>
      </c>
    </row>
    <row r="29" spans="2:4" ht="21" x14ac:dyDescent="0.5">
      <c r="B29" s="140">
        <v>22</v>
      </c>
      <c r="C29" s="141">
        <f t="shared" si="1"/>
        <v>3.0336604436563479</v>
      </c>
      <c r="D29" s="142" t="str">
        <f t="shared" si="0"/>
        <v xml:space="preserve"> </v>
      </c>
    </row>
    <row r="30" spans="2:4" ht="21" x14ac:dyDescent="0.5">
      <c r="B30" s="140">
        <v>23</v>
      </c>
      <c r="C30" s="141">
        <f t="shared" si="1"/>
        <v>3.0174818736397029</v>
      </c>
      <c r="D30" s="142" t="str">
        <f t="shared" si="0"/>
        <v xml:space="preserve"> </v>
      </c>
    </row>
    <row r="31" spans="2:4" ht="21" x14ac:dyDescent="0.5">
      <c r="B31" s="140">
        <v>24</v>
      </c>
      <c r="C31" s="141">
        <f t="shared" si="1"/>
        <v>3.00207282183099</v>
      </c>
      <c r="D31" s="142" t="str">
        <f t="shared" si="0"/>
        <v xml:space="preserve"> </v>
      </c>
    </row>
    <row r="32" spans="2:4" ht="21" x14ac:dyDescent="0.5">
      <c r="B32" s="140">
        <v>25</v>
      </c>
      <c r="C32" s="141">
        <f t="shared" si="1"/>
        <v>2.9873668288269926</v>
      </c>
      <c r="D32" s="142" t="str">
        <f t="shared" si="0"/>
        <v xml:space="preserve"> </v>
      </c>
    </row>
    <row r="33" spans="2:4" ht="21" x14ac:dyDescent="0.5">
      <c r="B33" s="140">
        <v>26</v>
      </c>
      <c r="C33" s="141">
        <f t="shared" si="1"/>
        <v>2.973305552363315</v>
      </c>
      <c r="D33" s="142" t="str">
        <f t="shared" si="0"/>
        <v xml:space="preserve"> </v>
      </c>
    </row>
    <row r="34" spans="2:4" ht="21" x14ac:dyDescent="0.5">
      <c r="B34" s="140">
        <v>27</v>
      </c>
      <c r="C34" s="141">
        <f t="shared" si="1"/>
        <v>2.9598375073679408</v>
      </c>
      <c r="D34" s="142" t="str">
        <f t="shared" si="0"/>
        <v xml:space="preserve"> </v>
      </c>
    </row>
    <row r="35" spans="2:4" ht="21" x14ac:dyDescent="0.5">
      <c r="B35" s="140">
        <v>28</v>
      </c>
      <c r="C35" s="141">
        <f t="shared" si="1"/>
        <v>2.9469170402485894</v>
      </c>
      <c r="D35" s="142" t="str">
        <f t="shared" si="0"/>
        <v xml:space="preserve"> </v>
      </c>
    </row>
    <row r="36" spans="2:4" ht="21" x14ac:dyDescent="0.5">
      <c r="B36" s="140">
        <v>29</v>
      </c>
      <c r="C36" s="141">
        <f t="shared" si="1"/>
        <v>2.9345034871825573</v>
      </c>
      <c r="D36" s="142" t="str">
        <f t="shared" si="0"/>
        <v xml:space="preserve"> </v>
      </c>
    </row>
    <row r="37" spans="2:4" ht="21" x14ac:dyDescent="0.5">
      <c r="B37" s="140">
        <v>30</v>
      </c>
      <c r="C37" s="141">
        <f t="shared" si="1"/>
        <v>2.9225604782866332</v>
      </c>
      <c r="D37" s="142" t="str">
        <f t="shared" si="0"/>
        <v xml:space="preserve"> </v>
      </c>
    </row>
    <row r="38" spans="2:4" ht="21" x14ac:dyDescent="0.5">
      <c r="B38" s="140">
        <v>31</v>
      </c>
      <c r="C38" s="141">
        <f t="shared" si="1"/>
        <v>2.9110553584333849</v>
      </c>
      <c r="D38" s="142" t="str">
        <f t="shared" si="0"/>
        <v xml:space="preserve"> </v>
      </c>
    </row>
    <row r="39" spans="2:4" ht="21" x14ac:dyDescent="0.5">
      <c r="B39" s="143">
        <v>32</v>
      </c>
      <c r="C39" s="144">
        <f t="shared" si="1"/>
        <v>2.8999587020800006</v>
      </c>
      <c r="D39" s="143" t="str">
        <f t="shared" si="0"/>
        <v>8%</v>
      </c>
    </row>
    <row r="40" spans="2:4" ht="21" x14ac:dyDescent="0.5">
      <c r="B40" s="140">
        <v>33</v>
      </c>
      <c r="C40" s="141">
        <f t="shared" si="1"/>
        <v>2.8892439044285974</v>
      </c>
      <c r="D40" s="142" t="str">
        <f t="shared" si="0"/>
        <v xml:space="preserve"> </v>
      </c>
    </row>
    <row r="41" spans="2:4" ht="21" x14ac:dyDescent="0.5">
      <c r="B41" s="140">
        <v>34</v>
      </c>
      <c r="C41" s="141">
        <f t="shared" si="1"/>
        <v>2.8788868349904688</v>
      </c>
      <c r="D41" s="142" t="str">
        <f t="shared" si="0"/>
        <v xml:space="preserve"> </v>
      </c>
    </row>
    <row r="42" spans="2:4" ht="21" x14ac:dyDescent="0.5">
      <c r="B42" s="140">
        <v>35</v>
      </c>
      <c r="C42" s="141">
        <f t="shared" si="1"/>
        <v>2.8688655424977614</v>
      </c>
      <c r="D42" s="142" t="str">
        <f t="shared" si="0"/>
        <v xml:space="preserve"> </v>
      </c>
    </row>
    <row r="43" spans="2:4" ht="21" x14ac:dyDescent="0.5">
      <c r="B43" s="140">
        <v>36</v>
      </c>
      <c r="C43" s="141">
        <f t="shared" si="1"/>
        <v>2.8591600023211106</v>
      </c>
      <c r="D43" s="142" t="str">
        <f t="shared" si="0"/>
        <v xml:space="preserve"> </v>
      </c>
    </row>
    <row r="44" spans="2:4" ht="21" x14ac:dyDescent="0.5">
      <c r="B44" s="140">
        <v>37</v>
      </c>
      <c r="C44" s="141">
        <f t="shared" si="1"/>
        <v>2.8497518992745658</v>
      </c>
      <c r="D44" s="142" t="str">
        <f t="shared" si="0"/>
        <v xml:space="preserve"> </v>
      </c>
    </row>
    <row r="45" spans="2:4" ht="21" x14ac:dyDescent="0.5">
      <c r="B45" s="140">
        <v>38</v>
      </c>
      <c r="C45" s="141">
        <f t="shared" si="1"/>
        <v>2.8406244400392087</v>
      </c>
      <c r="D45" s="142" t="str">
        <f t="shared" si="0"/>
        <v xml:space="preserve"> </v>
      </c>
    </row>
    <row r="46" spans="2:4" ht="21" x14ac:dyDescent="0.5">
      <c r="B46" s="140">
        <v>39</v>
      </c>
      <c r="C46" s="141">
        <f t="shared" si="1"/>
        <v>2.8317621905026069</v>
      </c>
      <c r="D46" s="142" t="str">
        <f t="shared" si="0"/>
        <v xml:space="preserve"> </v>
      </c>
    </row>
    <row r="47" spans="2:4" ht="21" x14ac:dyDescent="0.5">
      <c r="B47" s="140">
        <v>40</v>
      </c>
      <c r="C47" s="141">
        <f t="shared" si="1"/>
        <v>2.8231509341579692</v>
      </c>
      <c r="D47" s="142" t="str">
        <f t="shared" si="0"/>
        <v xml:space="preserve"> </v>
      </c>
    </row>
    <row r="48" spans="2:4" ht="21" x14ac:dyDescent="0.5">
      <c r="B48" s="140">
        <v>41</v>
      </c>
      <c r="C48" s="141">
        <f t="shared" si="1"/>
        <v>2.8147775483841575</v>
      </c>
      <c r="D48" s="142" t="str">
        <f t="shared" si="0"/>
        <v xml:space="preserve"> </v>
      </c>
    </row>
    <row r="49" spans="2:4" ht="21" x14ac:dyDescent="0.5">
      <c r="B49" s="140">
        <v>42</v>
      </c>
      <c r="C49" s="141">
        <f t="shared" si="1"/>
        <v>2.806629895972466</v>
      </c>
      <c r="D49" s="142" t="str">
        <f t="shared" si="0"/>
        <v xml:space="preserve"> </v>
      </c>
    </row>
    <row r="50" spans="2:4" ht="21" x14ac:dyDescent="0.5">
      <c r="B50" s="140">
        <v>43</v>
      </c>
      <c r="C50" s="141">
        <f t="shared" si="1"/>
        <v>2.7986967297069718</v>
      </c>
      <c r="D50" s="142" t="str">
        <f t="shared" si="0"/>
        <v xml:space="preserve"> </v>
      </c>
    </row>
    <row r="51" spans="2:4" ht="21" x14ac:dyDescent="0.5">
      <c r="B51" s="140">
        <v>44</v>
      </c>
      <c r="C51" s="141">
        <f t="shared" si="1"/>
        <v>2.7909676081638404</v>
      </c>
      <c r="D51" s="142" t="str">
        <f t="shared" si="0"/>
        <v xml:space="preserve"> </v>
      </c>
    </row>
    <row r="52" spans="2:4" ht="21" x14ac:dyDescent="0.5">
      <c r="B52" s="140">
        <v>45</v>
      </c>
      <c r="C52" s="141">
        <f t="shared" si="1"/>
        <v>2.783432821188248</v>
      </c>
      <c r="D52" s="142" t="str">
        <f t="shared" si="0"/>
        <v xml:space="preserve"> </v>
      </c>
    </row>
    <row r="53" spans="2:4" ht="21" x14ac:dyDescent="0.5">
      <c r="B53" s="140">
        <v>46</v>
      </c>
      <c r="C53" s="141">
        <f t="shared" si="1"/>
        <v>2.776083323748527</v>
      </c>
      <c r="D53" s="142" t="str">
        <f t="shared" si="0"/>
        <v xml:space="preserve"> </v>
      </c>
    </row>
    <row r="54" spans="2:4" ht="21" x14ac:dyDescent="0.5">
      <c r="B54" s="140">
        <v>47</v>
      </c>
      <c r="C54" s="141">
        <f t="shared" si="1"/>
        <v>2.7689106770660761</v>
      </c>
      <c r="D54" s="142" t="str">
        <f t="shared" si="0"/>
        <v xml:space="preserve"> </v>
      </c>
    </row>
    <row r="55" spans="2:4" ht="21" x14ac:dyDescent="0.5">
      <c r="B55" s="140">
        <v>48</v>
      </c>
      <c r="C55" s="141">
        <f t="shared" si="1"/>
        <v>2.7619069960845111</v>
      </c>
      <c r="D55" s="142" t="str">
        <f t="shared" si="0"/>
        <v xml:space="preserve"> </v>
      </c>
    </row>
    <row r="56" spans="2:4" ht="21" x14ac:dyDescent="0.5">
      <c r="B56" s="140">
        <v>49</v>
      </c>
      <c r="C56" s="141">
        <f t="shared" si="1"/>
        <v>2.7550649024789116</v>
      </c>
      <c r="D56" s="142" t="str">
        <f t="shared" si="0"/>
        <v xml:space="preserve"> </v>
      </c>
    </row>
    <row r="57" spans="2:4" ht="21" x14ac:dyDescent="0.5">
      <c r="B57" s="140">
        <v>50</v>
      </c>
      <c r="C57" s="141">
        <f t="shared" si="1"/>
        <v>2.7483774825208331</v>
      </c>
      <c r="D57" s="142" t="str">
        <f t="shared" si="0"/>
        <v xml:space="preserve"> </v>
      </c>
    </row>
    <row r="58" spans="2:4" ht="21" x14ac:dyDescent="0.5">
      <c r="B58" s="140">
        <v>51</v>
      </c>
      <c r="C58" s="141">
        <f t="shared" si="1"/>
        <v>2.7418382492111855</v>
      </c>
      <c r="D58" s="142" t="str">
        <f t="shared" si="0"/>
        <v xml:space="preserve"> </v>
      </c>
    </row>
    <row r="59" spans="2:4" ht="21" x14ac:dyDescent="0.5">
      <c r="B59" s="140">
        <v>52</v>
      </c>
      <c r="C59" s="141">
        <f t="shared" si="1"/>
        <v>2.7354411081742493</v>
      </c>
      <c r="D59" s="142" t="str">
        <f t="shared" si="0"/>
        <v xml:space="preserve"> </v>
      </c>
    </row>
    <row r="60" spans="2:4" ht="21" x14ac:dyDescent="0.5">
      <c r="B60" s="140">
        <v>53</v>
      </c>
      <c r="C60" s="141">
        <f t="shared" si="1"/>
        <v>2.7291803268747969</v>
      </c>
      <c r="D60" s="142" t="str">
        <f t="shared" si="0"/>
        <v xml:space="preserve"> </v>
      </c>
    </row>
    <row r="61" spans="2:4" ht="21" x14ac:dyDescent="0.5">
      <c r="B61" s="140">
        <v>54</v>
      </c>
      <c r="C61" s="141">
        <f t="shared" si="1"/>
        <v>2.7230505067785051</v>
      </c>
      <c r="D61" s="142" t="str">
        <f t="shared" si="0"/>
        <v xml:space="preserve"> </v>
      </c>
    </row>
    <row r="62" spans="2:4" ht="21" x14ac:dyDescent="0.5">
      <c r="B62" s="140">
        <v>55</v>
      </c>
      <c r="C62" s="141">
        <f t="shared" si="1"/>
        <v>2.7170465581254382</v>
      </c>
      <c r="D62" s="142" t="str">
        <f t="shared" si="0"/>
        <v xml:space="preserve"> </v>
      </c>
    </row>
    <row r="63" spans="2:4" ht="21" x14ac:dyDescent="0.5">
      <c r="B63" s="140">
        <v>56</v>
      </c>
      <c r="C63" s="141">
        <f t="shared" si="1"/>
        <v>2.711163677028702</v>
      </c>
      <c r="D63" s="142" t="str">
        <f t="shared" si="0"/>
        <v xml:space="preserve"> </v>
      </c>
    </row>
    <row r="64" spans="2:4" ht="21" x14ac:dyDescent="0.5">
      <c r="B64" s="140">
        <v>57</v>
      </c>
      <c r="C64" s="141">
        <f t="shared" si="1"/>
        <v>2.7053973246466265</v>
      </c>
      <c r="D64" s="142" t="str">
        <f t="shared" si="0"/>
        <v xml:space="preserve"> </v>
      </c>
    </row>
    <row r="65" spans="2:4" ht="21" x14ac:dyDescent="0.5">
      <c r="B65" s="140">
        <v>58</v>
      </c>
      <c r="C65" s="141">
        <f t="shared" si="1"/>
        <v>2.6997432082079529</v>
      </c>
      <c r="D65" s="142" t="str">
        <f t="shared" si="0"/>
        <v xml:space="preserve"> </v>
      </c>
    </row>
    <row r="66" spans="2:4" ht="21" x14ac:dyDescent="0.5">
      <c r="B66" s="140">
        <v>59</v>
      </c>
      <c r="C66" s="141">
        <f t="shared" si="1"/>
        <v>2.6941972636963496</v>
      </c>
      <c r="D66" s="142" t="str">
        <f t="shared" si="0"/>
        <v xml:space="preserve"> </v>
      </c>
    </row>
    <row r="67" spans="2:4" ht="21" x14ac:dyDescent="0.5">
      <c r="B67" s="140">
        <v>60</v>
      </c>
      <c r="C67" s="141">
        <f t="shared" si="1"/>
        <v>2.6887556400237025</v>
      </c>
      <c r="D67" s="142" t="str">
        <f t="shared" si="0"/>
        <v xml:space="preserve"> </v>
      </c>
    </row>
    <row r="68" spans="2:4" ht="21" x14ac:dyDescent="0.5">
      <c r="B68" s="140">
        <v>61</v>
      </c>
      <c r="C68" s="141">
        <f t="shared" si="1"/>
        <v>2.6834146845417117</v>
      </c>
      <c r="D68" s="142" t="str">
        <f t="shared" si="0"/>
        <v xml:space="preserve"> </v>
      </c>
    </row>
    <row r="69" spans="2:4" ht="21" x14ac:dyDescent="0.5">
      <c r="B69" s="140">
        <v>62</v>
      </c>
      <c r="C69" s="141">
        <f t="shared" si="1"/>
        <v>2.6781709297587146</v>
      </c>
      <c r="D69" s="142" t="str">
        <f t="shared" si="0"/>
        <v xml:space="preserve"> </v>
      </c>
    </row>
    <row r="70" spans="2:4" ht="21" x14ac:dyDescent="0.5">
      <c r="B70" s="140">
        <v>63</v>
      </c>
      <c r="C70" s="141">
        <f t="shared" si="1"/>
        <v>2.6730210811438142</v>
      </c>
      <c r="D70" s="142" t="str">
        <f t="shared" si="0"/>
        <v xml:space="preserve"> </v>
      </c>
    </row>
    <row r="71" spans="2:4" ht="21" x14ac:dyDescent="0.5">
      <c r="B71" s="143">
        <v>64</v>
      </c>
      <c r="C71" s="144">
        <f t="shared" si="1"/>
        <v>2.6679620059136013</v>
      </c>
      <c r="D71" s="143" t="str">
        <f t="shared" si="0"/>
        <v>8%</v>
      </c>
    </row>
    <row r="72" spans="2:4" ht="21" x14ac:dyDescent="0.5">
      <c r="B72" s="140">
        <v>65</v>
      </c>
      <c r="C72" s="141">
        <f t="shared" si="1"/>
        <v>2.6629907227082996</v>
      </c>
      <c r="D72" s="142" t="str">
        <f t="shared" si="0"/>
        <v xml:space="preserve"> </v>
      </c>
    </row>
    <row r="73" spans="2:4" ht="21" x14ac:dyDescent="0.5">
      <c r="B73" s="140">
        <v>66</v>
      </c>
      <c r="C73" s="141">
        <f t="shared" ref="C73:C103" si="2">$C$5*(B73/$B$8)^(-$C$4)</f>
        <v>2.6581043920743097</v>
      </c>
      <c r="D73" s="142" t="str">
        <f t="shared" ref="D73:D136" si="3">IF(MOD(LOG(B73,2),1)=0, "8%", " ")</f>
        <v xml:space="preserve"> </v>
      </c>
    </row>
    <row r="74" spans="2:4" ht="21" x14ac:dyDescent="0.5">
      <c r="B74" s="140">
        <v>67</v>
      </c>
      <c r="C74" s="141">
        <f t="shared" si="2"/>
        <v>2.6533003076789732</v>
      </c>
      <c r="D74" s="142" t="str">
        <f t="shared" si="3"/>
        <v xml:space="preserve"> </v>
      </c>
    </row>
    <row r="75" spans="2:4" ht="21" x14ac:dyDescent="0.5">
      <c r="B75" s="140">
        <v>68</v>
      </c>
      <c r="C75" s="141">
        <f t="shared" si="2"/>
        <v>2.6485758881912314</v>
      </c>
      <c r="D75" s="142" t="str">
        <f t="shared" si="3"/>
        <v xml:space="preserve"> </v>
      </c>
    </row>
    <row r="76" spans="2:4" ht="21" x14ac:dyDescent="0.5">
      <c r="B76" s="140">
        <v>69</v>
      </c>
      <c r="C76" s="141">
        <f t="shared" si="2"/>
        <v>2.6439286697687199</v>
      </c>
      <c r="D76" s="142" t="str">
        <f t="shared" si="3"/>
        <v xml:space="preserve"> </v>
      </c>
    </row>
    <row r="77" spans="2:4" ht="21" x14ac:dyDescent="0.5">
      <c r="B77" s="140">
        <v>70</v>
      </c>
      <c r="C77" s="141">
        <f t="shared" si="2"/>
        <v>2.63935629909794</v>
      </c>
      <c r="D77" s="142" t="str">
        <f t="shared" si="3"/>
        <v xml:space="preserve"> </v>
      </c>
    </row>
    <row r="78" spans="2:4" ht="21" x14ac:dyDescent="0.5">
      <c r="B78" s="140">
        <v>71</v>
      </c>
      <c r="C78" s="141">
        <f t="shared" si="2"/>
        <v>2.6348565269395299</v>
      </c>
      <c r="D78" s="142" t="str">
        <f t="shared" si="3"/>
        <v xml:space="preserve"> </v>
      </c>
    </row>
    <row r="79" spans="2:4" ht="21" x14ac:dyDescent="0.5">
      <c r="B79" s="140">
        <v>72</v>
      </c>
      <c r="C79" s="141">
        <f t="shared" si="2"/>
        <v>2.6304272021354222</v>
      </c>
      <c r="D79" s="142" t="str">
        <f t="shared" si="3"/>
        <v xml:space="preserve"> </v>
      </c>
    </row>
    <row r="80" spans="2:4" ht="21" x14ac:dyDescent="0.5">
      <c r="B80" s="140">
        <v>73</v>
      </c>
      <c r="C80" s="141">
        <f t="shared" si="2"/>
        <v>2.6260662660389351</v>
      </c>
      <c r="D80" s="142" t="str">
        <f t="shared" si="3"/>
        <v xml:space="preserve"> </v>
      </c>
    </row>
    <row r="81" spans="2:4" ht="21" x14ac:dyDescent="0.5">
      <c r="B81" s="140">
        <v>74</v>
      </c>
      <c r="C81" s="141">
        <f t="shared" si="2"/>
        <v>2.6217717473326001</v>
      </c>
      <c r="D81" s="142" t="str">
        <f t="shared" si="3"/>
        <v xml:space="preserve"> </v>
      </c>
    </row>
    <row r="82" spans="2:4" ht="21" x14ac:dyDescent="0.5">
      <c r="B82" s="140">
        <v>75</v>
      </c>
      <c r="C82" s="141">
        <f t="shared" si="2"/>
        <v>2.6175417572018991</v>
      </c>
      <c r="D82" s="142" t="str">
        <f t="shared" si="3"/>
        <v xml:space="preserve"> </v>
      </c>
    </row>
    <row r="83" spans="2:4" ht="21" x14ac:dyDescent="0.5">
      <c r="B83" s="140">
        <v>76</v>
      </c>
      <c r="C83" s="141">
        <f t="shared" si="2"/>
        <v>2.6133744848360725</v>
      </c>
      <c r="D83" s="142" t="str">
        <f t="shared" si="3"/>
        <v xml:space="preserve"> </v>
      </c>
    </row>
    <row r="84" spans="2:4" ht="21" x14ac:dyDescent="0.5">
      <c r="B84" s="140">
        <v>77</v>
      </c>
      <c r="C84" s="141">
        <f t="shared" si="2"/>
        <v>2.6092681932298558</v>
      </c>
      <c r="D84" s="142" t="str">
        <f t="shared" si="3"/>
        <v xml:space="preserve"> </v>
      </c>
    </row>
    <row r="85" spans="2:4" ht="21" x14ac:dyDescent="0.5">
      <c r="B85" s="140">
        <v>78</v>
      </c>
      <c r="C85" s="141">
        <f t="shared" si="2"/>
        <v>2.6052212152623984</v>
      </c>
      <c r="D85" s="142" t="str">
        <f t="shared" si="3"/>
        <v xml:space="preserve"> </v>
      </c>
    </row>
    <row r="86" spans="2:4" ht="21" x14ac:dyDescent="0.5">
      <c r="B86" s="140">
        <v>79</v>
      </c>
      <c r="C86" s="141">
        <f t="shared" si="2"/>
        <v>2.6012319500317602</v>
      </c>
      <c r="D86" s="142" t="str">
        <f t="shared" si="3"/>
        <v xml:space="preserve"> </v>
      </c>
    </row>
    <row r="87" spans="2:4" ht="21" x14ac:dyDescent="0.5">
      <c r="B87" s="140">
        <v>80</v>
      </c>
      <c r="C87" s="141">
        <f t="shared" si="2"/>
        <v>2.5972988594253321</v>
      </c>
      <c r="D87" s="142" t="str">
        <f t="shared" si="3"/>
        <v xml:space="preserve"> </v>
      </c>
    </row>
    <row r="88" spans="2:4" ht="21" x14ac:dyDescent="0.5">
      <c r="B88" s="140">
        <v>81</v>
      </c>
      <c r="C88" s="141">
        <f t="shared" si="2"/>
        <v>2.5934204649082453</v>
      </c>
      <c r="D88" s="142" t="str">
        <f t="shared" si="3"/>
        <v xml:space="preserve"> </v>
      </c>
    </row>
    <row r="89" spans="2:4" ht="21" x14ac:dyDescent="0.5">
      <c r="B89" s="140">
        <v>82</v>
      </c>
      <c r="C89" s="141">
        <f t="shared" si="2"/>
        <v>2.5895953445134245</v>
      </c>
      <c r="D89" s="142" t="str">
        <f t="shared" si="3"/>
        <v xml:space="preserve"> </v>
      </c>
    </row>
    <row r="90" spans="2:4" ht="21" x14ac:dyDescent="0.5">
      <c r="B90" s="140">
        <v>83</v>
      </c>
      <c r="C90" s="141">
        <f t="shared" si="2"/>
        <v>2.5858221300183235</v>
      </c>
      <c r="D90" s="142" t="str">
        <f t="shared" si="3"/>
        <v xml:space="preserve"> </v>
      </c>
    </row>
    <row r="91" spans="2:4" ht="21" x14ac:dyDescent="0.5">
      <c r="B91" s="140">
        <v>84</v>
      </c>
      <c r="C91" s="141">
        <f t="shared" si="2"/>
        <v>2.5820995042946691</v>
      </c>
      <c r="D91" s="142" t="str">
        <f t="shared" si="3"/>
        <v xml:space="preserve"> </v>
      </c>
    </row>
    <row r="92" spans="2:4" ht="21" x14ac:dyDescent="0.5">
      <c r="B92" s="140">
        <v>85</v>
      </c>
      <c r="C92" s="141">
        <f t="shared" si="2"/>
        <v>2.5784261988187005</v>
      </c>
      <c r="D92" s="142" t="str">
        <f t="shared" si="3"/>
        <v xml:space="preserve"> </v>
      </c>
    </row>
    <row r="93" spans="2:4" ht="21" x14ac:dyDescent="0.5">
      <c r="B93" s="140">
        <v>86</v>
      </c>
      <c r="C93" s="141">
        <f t="shared" si="2"/>
        <v>2.5748009913304144</v>
      </c>
      <c r="D93" s="142" t="str">
        <f t="shared" si="3"/>
        <v xml:space="preserve"> </v>
      </c>
    </row>
    <row r="94" spans="2:4" ht="21" x14ac:dyDescent="0.5">
      <c r="B94" s="140">
        <v>87</v>
      </c>
      <c r="C94" s="141">
        <f t="shared" si="2"/>
        <v>2.5712227036312765</v>
      </c>
      <c r="D94" s="142" t="str">
        <f t="shared" si="3"/>
        <v xml:space="preserve"> </v>
      </c>
    </row>
    <row r="95" spans="2:4" ht="21" x14ac:dyDescent="0.5">
      <c r="B95" s="140">
        <v>88</v>
      </c>
      <c r="C95" s="141">
        <f t="shared" si="2"/>
        <v>2.5676901995107331</v>
      </c>
      <c r="D95" s="142" t="str">
        <f t="shared" si="3"/>
        <v xml:space="preserve"> </v>
      </c>
    </row>
    <row r="96" spans="2:4" ht="21" x14ac:dyDescent="0.5">
      <c r="B96" s="140">
        <v>89</v>
      </c>
      <c r="C96" s="141">
        <f t="shared" si="2"/>
        <v>2.5642023827926064</v>
      </c>
      <c r="D96" s="142" t="str">
        <f t="shared" si="3"/>
        <v xml:space="preserve"> </v>
      </c>
    </row>
    <row r="97" spans="2:4" ht="21" x14ac:dyDescent="0.5">
      <c r="B97" s="140">
        <v>90</v>
      </c>
      <c r="C97" s="141">
        <f t="shared" si="2"/>
        <v>2.5607581954931882</v>
      </c>
      <c r="D97" s="142" t="str">
        <f t="shared" si="3"/>
        <v xml:space="preserve"> </v>
      </c>
    </row>
    <row r="98" spans="2:4" ht="21" x14ac:dyDescent="0.5">
      <c r="B98" s="140">
        <v>91</v>
      </c>
      <c r="C98" s="141">
        <f t="shared" si="2"/>
        <v>2.5573566160834851</v>
      </c>
      <c r="D98" s="142" t="str">
        <f t="shared" si="3"/>
        <v xml:space="preserve"> </v>
      </c>
    </row>
    <row r="99" spans="2:4" ht="21" x14ac:dyDescent="0.5">
      <c r="B99" s="140">
        <v>92</v>
      </c>
      <c r="C99" s="141">
        <f t="shared" si="2"/>
        <v>2.553996657848645</v>
      </c>
      <c r="D99" s="142" t="str">
        <f t="shared" si="3"/>
        <v xml:space="preserve"> </v>
      </c>
    </row>
    <row r="100" spans="2:4" ht="21" x14ac:dyDescent="0.5">
      <c r="B100" s="140">
        <v>93</v>
      </c>
      <c r="C100" s="141">
        <f t="shared" si="2"/>
        <v>2.5506773673381424</v>
      </c>
      <c r="D100" s="142" t="str">
        <f t="shared" si="3"/>
        <v xml:space="preserve"> </v>
      </c>
    </row>
    <row r="101" spans="2:4" ht="21" x14ac:dyDescent="0.5">
      <c r="B101" s="140">
        <v>94</v>
      </c>
      <c r="C101" s="141">
        <f t="shared" si="2"/>
        <v>2.5473978229007894</v>
      </c>
      <c r="D101" s="142" t="str">
        <f t="shared" si="3"/>
        <v xml:space="preserve"> </v>
      </c>
    </row>
    <row r="102" spans="2:4" ht="21" x14ac:dyDescent="0.5">
      <c r="B102" s="140">
        <v>95</v>
      </c>
      <c r="C102" s="141">
        <f t="shared" si="2"/>
        <v>2.5441571332990742</v>
      </c>
      <c r="D102" s="142" t="str">
        <f t="shared" si="3"/>
        <v xml:space="preserve"> </v>
      </c>
    </row>
    <row r="103" spans="2:4" ht="21" x14ac:dyDescent="0.5">
      <c r="B103" s="140">
        <v>96</v>
      </c>
      <c r="C103" s="141">
        <f t="shared" si="2"/>
        <v>2.5409544363977501</v>
      </c>
      <c r="D103" s="142" t="str">
        <f t="shared" si="3"/>
        <v xml:space="preserve"> </v>
      </c>
    </row>
    <row r="104" spans="2:4" ht="21" x14ac:dyDescent="0.5">
      <c r="B104" s="140">
        <v>97</v>
      </c>
      <c r="C104" s="141">
        <f t="shared" ref="C104:C107" si="4">$C$5*(B104/$B$8)^(-$C$4)</f>
        <v>2.5377888979219692</v>
      </c>
      <c r="D104" s="142" t="str">
        <f t="shared" si="3"/>
        <v xml:space="preserve"> </v>
      </c>
    </row>
    <row r="105" spans="2:4" ht="21" x14ac:dyDescent="0.5">
      <c r="B105" s="140">
        <v>98</v>
      </c>
      <c r="C105" s="141">
        <f t="shared" si="4"/>
        <v>2.5346597102805983</v>
      </c>
      <c r="D105" s="142" t="str">
        <f t="shared" si="3"/>
        <v xml:space="preserve"> </v>
      </c>
    </row>
    <row r="106" spans="2:4" ht="21" x14ac:dyDescent="0.5">
      <c r="B106" s="140">
        <v>99</v>
      </c>
      <c r="C106" s="141">
        <f t="shared" si="4"/>
        <v>2.5315660914506619</v>
      </c>
      <c r="D106" s="142" t="str">
        <f t="shared" si="3"/>
        <v xml:space="preserve"> </v>
      </c>
    </row>
    <row r="107" spans="2:4" ht="21" x14ac:dyDescent="0.5">
      <c r="B107" s="140">
        <v>100</v>
      </c>
      <c r="C107" s="141">
        <f t="shared" si="4"/>
        <v>2.5285072839191667</v>
      </c>
      <c r="D107" s="142" t="str">
        <f t="shared" si="3"/>
        <v xml:space="preserve"> </v>
      </c>
    </row>
    <row r="108" spans="2:4" ht="21" x14ac:dyDescent="0.5">
      <c r="B108" s="140">
        <v>101</v>
      </c>
      <c r="C108" s="141">
        <f t="shared" ref="C108:C125" si="5">$C$5*(B108/$B$8)^(-$C$4)</f>
        <v>2.5254825536788044</v>
      </c>
      <c r="D108" s="142" t="str">
        <f t="shared" si="3"/>
        <v xml:space="preserve"> </v>
      </c>
    </row>
    <row r="109" spans="2:4" ht="21" x14ac:dyDescent="0.5">
      <c r="B109" s="140">
        <v>102</v>
      </c>
      <c r="C109" s="141">
        <f t="shared" si="5"/>
        <v>2.5224911892742909</v>
      </c>
      <c r="D109" s="142" t="str">
        <f t="shared" si="3"/>
        <v xml:space="preserve"> </v>
      </c>
    </row>
    <row r="110" spans="2:4" ht="21" x14ac:dyDescent="0.5">
      <c r="B110" s="140">
        <v>103</v>
      </c>
      <c r="C110" s="141">
        <f t="shared" si="5"/>
        <v>2.519532500896319</v>
      </c>
      <c r="D110" s="142" t="str">
        <f t="shared" si="3"/>
        <v xml:space="preserve"> </v>
      </c>
    </row>
    <row r="111" spans="2:4" ht="21" x14ac:dyDescent="0.5">
      <c r="B111" s="140">
        <v>104</v>
      </c>
      <c r="C111" s="141">
        <f t="shared" si="5"/>
        <v>2.5166058195203096</v>
      </c>
      <c r="D111" s="142" t="str">
        <f t="shared" si="3"/>
        <v xml:space="preserve"> </v>
      </c>
    </row>
    <row r="112" spans="2:4" ht="21" x14ac:dyDescent="0.5">
      <c r="B112" s="140">
        <v>105</v>
      </c>
      <c r="C112" s="141">
        <f t="shared" si="5"/>
        <v>2.5137104960873424</v>
      </c>
      <c r="D112" s="142" t="str">
        <f t="shared" si="3"/>
        <v xml:space="preserve"> </v>
      </c>
    </row>
    <row r="113" spans="2:4" ht="21" x14ac:dyDescent="0.5">
      <c r="B113" s="140">
        <v>106</v>
      </c>
      <c r="C113" s="141">
        <f t="shared" si="5"/>
        <v>2.5108459007248132</v>
      </c>
      <c r="D113" s="142" t="str">
        <f t="shared" si="3"/>
        <v xml:space="preserve"> </v>
      </c>
    </row>
    <row r="114" spans="2:4" ht="21" x14ac:dyDescent="0.5">
      <c r="B114" s="140">
        <v>107</v>
      </c>
      <c r="C114" s="141">
        <f t="shared" si="5"/>
        <v>2.508011422004548</v>
      </c>
      <c r="D114" s="142" t="str">
        <f t="shared" si="3"/>
        <v xml:space="preserve"> </v>
      </c>
    </row>
    <row r="115" spans="2:4" ht="21" x14ac:dyDescent="0.5">
      <c r="B115" s="140">
        <v>108</v>
      </c>
      <c r="C115" s="141">
        <f t="shared" si="5"/>
        <v>2.505206466236225</v>
      </c>
      <c r="D115" s="142" t="str">
        <f t="shared" si="3"/>
        <v xml:space="preserve"> </v>
      </c>
    </row>
    <row r="116" spans="2:4" ht="21" x14ac:dyDescent="0.5">
      <c r="B116" s="140">
        <v>109</v>
      </c>
      <c r="C116" s="141">
        <f t="shared" si="5"/>
        <v>2.5024304567941362</v>
      </c>
      <c r="D116" s="142" t="str">
        <f t="shared" si="3"/>
        <v xml:space="preserve"> </v>
      </c>
    </row>
    <row r="117" spans="2:4" ht="21" x14ac:dyDescent="0.5">
      <c r="B117" s="140">
        <v>110</v>
      </c>
      <c r="C117" s="141">
        <f t="shared" si="5"/>
        <v>2.4996828334754033</v>
      </c>
      <c r="D117" s="142" t="str">
        <f t="shared" si="3"/>
        <v xml:space="preserve"> </v>
      </c>
    </row>
    <row r="118" spans="2:4" ht="21" x14ac:dyDescent="0.5">
      <c r="B118" s="140">
        <v>111</v>
      </c>
      <c r="C118" s="141">
        <f t="shared" si="5"/>
        <v>2.4969630518879238</v>
      </c>
      <c r="D118" s="142" t="str">
        <f t="shared" si="3"/>
        <v xml:space="preserve"> </v>
      </c>
    </row>
    <row r="119" spans="2:4" ht="21" x14ac:dyDescent="0.5">
      <c r="B119" s="140">
        <v>112</v>
      </c>
      <c r="C119" s="141">
        <f t="shared" si="5"/>
        <v>2.4942705828664065</v>
      </c>
      <c r="D119" s="142" t="str">
        <f t="shared" si="3"/>
        <v xml:space="preserve"> </v>
      </c>
    </row>
    <row r="120" spans="2:4" ht="21" x14ac:dyDescent="0.5">
      <c r="B120" s="140">
        <v>113</v>
      </c>
      <c r="C120" s="141">
        <f t="shared" si="5"/>
        <v>2.4916049119149739</v>
      </c>
      <c r="D120" s="142" t="str">
        <f t="shared" si="3"/>
        <v xml:space="preserve"> </v>
      </c>
    </row>
    <row r="121" spans="2:4" ht="21" x14ac:dyDescent="0.5">
      <c r="B121" s="140">
        <v>114</v>
      </c>
      <c r="C121" s="141">
        <f t="shared" si="5"/>
        <v>2.4889655386748961</v>
      </c>
      <c r="D121" s="142" t="str">
        <f t="shared" si="3"/>
        <v xml:space="preserve"> </v>
      </c>
    </row>
    <row r="122" spans="2:4" ht="21" x14ac:dyDescent="0.5">
      <c r="B122" s="140">
        <v>115</v>
      </c>
      <c r="C122" s="141">
        <f t="shared" si="5"/>
        <v>2.4863519764161195</v>
      </c>
      <c r="D122" s="142" t="str">
        <f t="shared" si="3"/>
        <v xml:space="preserve"> </v>
      </c>
    </row>
    <row r="123" spans="2:4" ht="21" x14ac:dyDescent="0.5">
      <c r="B123" s="140">
        <v>116</v>
      </c>
      <c r="C123" s="141">
        <f t="shared" si="5"/>
        <v>2.4837637515513169</v>
      </c>
      <c r="D123" s="142" t="str">
        <f t="shared" si="3"/>
        <v xml:space="preserve"> </v>
      </c>
    </row>
    <row r="124" spans="2:4" ht="21" x14ac:dyDescent="0.5">
      <c r="B124" s="140">
        <v>117</v>
      </c>
      <c r="C124" s="141">
        <f t="shared" si="5"/>
        <v>2.4812004031712971</v>
      </c>
      <c r="D124" s="142" t="str">
        <f t="shared" si="3"/>
        <v xml:space="preserve"> </v>
      </c>
    </row>
    <row r="125" spans="2:4" ht="21" x14ac:dyDescent="0.5">
      <c r="B125" s="140">
        <v>118</v>
      </c>
      <c r="C125" s="141">
        <f t="shared" si="5"/>
        <v>2.4786614826006415</v>
      </c>
      <c r="D125" s="142" t="str">
        <f t="shared" si="3"/>
        <v xml:space="preserve"> </v>
      </c>
    </row>
    <row r="126" spans="2:4" ht="21" x14ac:dyDescent="0.5">
      <c r="B126" s="140">
        <v>119</v>
      </c>
      <c r="C126" s="141">
        <f t="shared" ref="C126:C171" si="6">$C$5*(B126/$B$8)^(-$C$4)</f>
        <v>2.4761465529725353</v>
      </c>
      <c r="D126" s="142" t="str">
        <f t="shared" si="3"/>
        <v xml:space="preserve"> </v>
      </c>
    </row>
    <row r="127" spans="2:4" ht="21" x14ac:dyDescent="0.5">
      <c r="B127" s="140">
        <v>120</v>
      </c>
      <c r="C127" s="141">
        <f t="shared" si="6"/>
        <v>2.4736551888218066</v>
      </c>
      <c r="D127" s="142" t="str">
        <f t="shared" si="3"/>
        <v xml:space="preserve"> </v>
      </c>
    </row>
    <row r="128" spans="2:4" ht="21" x14ac:dyDescent="0.5">
      <c r="B128" s="140">
        <v>121</v>
      </c>
      <c r="C128" s="141">
        <f t="shared" si="6"/>
        <v>2.471186975695252</v>
      </c>
      <c r="D128" s="142" t="str">
        <f t="shared" si="3"/>
        <v xml:space="preserve"> </v>
      </c>
    </row>
    <row r="129" spans="2:4" ht="21" x14ac:dyDescent="0.5">
      <c r="B129" s="140">
        <v>122</v>
      </c>
      <c r="C129" s="141">
        <f t="shared" si="6"/>
        <v>2.4687415097783747</v>
      </c>
      <c r="D129" s="142" t="str">
        <f t="shared" si="3"/>
        <v xml:space="preserve"> </v>
      </c>
    </row>
    <row r="130" spans="2:4" ht="21" x14ac:dyDescent="0.5">
      <c r="B130" s="140">
        <v>123</v>
      </c>
      <c r="C130" s="141">
        <f t="shared" si="6"/>
        <v>2.4663183975377176</v>
      </c>
      <c r="D130" s="142" t="str">
        <f t="shared" si="3"/>
        <v xml:space="preserve"> </v>
      </c>
    </row>
    <row r="131" spans="2:4" ht="21" x14ac:dyDescent="0.5">
      <c r="B131" s="140">
        <v>124</v>
      </c>
      <c r="C131" s="141">
        <f t="shared" si="6"/>
        <v>2.4639172553780178</v>
      </c>
      <c r="D131" s="142" t="str">
        <f t="shared" si="3"/>
        <v xml:space="preserve"> </v>
      </c>
    </row>
    <row r="132" spans="2:4" ht="21" x14ac:dyDescent="0.5">
      <c r="B132" s="140">
        <v>125</v>
      </c>
      <c r="C132" s="141">
        <f t="shared" si="6"/>
        <v>2.4615377093134549</v>
      </c>
      <c r="D132" s="142" t="str">
        <f t="shared" si="3"/>
        <v xml:space="preserve"> </v>
      </c>
    </row>
    <row r="133" spans="2:4" ht="21" x14ac:dyDescent="0.5">
      <c r="B133" s="140">
        <v>126</v>
      </c>
      <c r="C133" s="141">
        <f t="shared" si="6"/>
        <v>2.4591793946523097</v>
      </c>
      <c r="D133" s="142" t="str">
        <f t="shared" si="3"/>
        <v xml:space="preserve"> </v>
      </c>
    </row>
    <row r="134" spans="2:4" ht="21" x14ac:dyDescent="0.5">
      <c r="B134" s="140">
        <v>127</v>
      </c>
      <c r="C134" s="141">
        <f t="shared" si="6"/>
        <v>2.4568419556943732</v>
      </c>
      <c r="D134" s="142" t="str">
        <f t="shared" si="3"/>
        <v xml:space="preserve"> </v>
      </c>
    </row>
    <row r="135" spans="2:4" ht="21" x14ac:dyDescent="0.5">
      <c r="B135" s="143">
        <v>128</v>
      </c>
      <c r="C135" s="144">
        <f t="shared" si="6"/>
        <v>2.454525045440513</v>
      </c>
      <c r="D135" s="143" t="str">
        <f t="shared" si="3"/>
        <v>8%</v>
      </c>
    </row>
    <row r="136" spans="2:4" ht="21" x14ac:dyDescent="0.5">
      <c r="B136" s="140">
        <v>129</v>
      </c>
      <c r="C136" s="141">
        <f t="shared" si="6"/>
        <v>2.4522283253137944</v>
      </c>
      <c r="D136" s="142" t="str">
        <f t="shared" si="3"/>
        <v xml:space="preserve"> </v>
      </c>
    </row>
    <row r="137" spans="2:4" ht="21" x14ac:dyDescent="0.5">
      <c r="B137" s="140">
        <v>130</v>
      </c>
      <c r="C137" s="141">
        <f t="shared" si="6"/>
        <v>2.4499514648916354</v>
      </c>
      <c r="D137" s="142" t="str">
        <f t="shared" ref="D137:D172" si="7">IF(MOD(LOG(B137,2),1)=0, "8%", " ")</f>
        <v xml:space="preserve"> </v>
      </c>
    </row>
    <row r="138" spans="2:4" ht="21" x14ac:dyDescent="0.5">
      <c r="B138" s="140">
        <v>131</v>
      </c>
      <c r="C138" s="141">
        <f t="shared" si="6"/>
        <v>2.4476941416484599</v>
      </c>
      <c r="D138" s="142" t="str">
        <f t="shared" si="7"/>
        <v xml:space="preserve"> </v>
      </c>
    </row>
    <row r="139" spans="2:4" ht="21" x14ac:dyDescent="0.5">
      <c r="B139" s="140">
        <v>132</v>
      </c>
      <c r="C139" s="141">
        <f t="shared" si="6"/>
        <v>2.4454560407083652</v>
      </c>
      <c r="D139" s="142" t="str">
        <f t="shared" si="7"/>
        <v xml:space="preserve"> </v>
      </c>
    </row>
    <row r="140" spans="2:4" ht="21" x14ac:dyDescent="0.5">
      <c r="B140" s="140">
        <v>133</v>
      </c>
      <c r="C140" s="141">
        <f t="shared" si="6"/>
        <v>2.4432368546073513</v>
      </c>
      <c r="D140" s="142" t="str">
        <f t="shared" si="7"/>
        <v xml:space="preserve"> </v>
      </c>
    </row>
    <row r="141" spans="2:4" ht="21" x14ac:dyDescent="0.5">
      <c r="B141" s="140">
        <v>134</v>
      </c>
      <c r="C141" s="141">
        <f t="shared" si="6"/>
        <v>2.4410362830646561</v>
      </c>
      <c r="D141" s="142" t="str">
        <f t="shared" si="7"/>
        <v xml:space="preserve"> </v>
      </c>
    </row>
    <row r="142" spans="2:4" ht="21" x14ac:dyDescent="0.5">
      <c r="B142" s="140">
        <v>135</v>
      </c>
      <c r="C142" s="141">
        <f t="shared" si="6"/>
        <v>2.4388540327627997</v>
      </c>
      <c r="D142" s="142" t="str">
        <f t="shared" si="7"/>
        <v xml:space="preserve"> </v>
      </c>
    </row>
    <row r="143" spans="2:4" ht="21" x14ac:dyDescent="0.5">
      <c r="B143" s="140">
        <v>136</v>
      </c>
      <c r="C143" s="141">
        <f t="shared" si="6"/>
        <v>2.4366898171359335</v>
      </c>
      <c r="D143" s="142" t="str">
        <f t="shared" si="7"/>
        <v xml:space="preserve"> </v>
      </c>
    </row>
    <row r="144" spans="2:4" ht="21" x14ac:dyDescent="0.5">
      <c r="B144" s="140">
        <v>137</v>
      </c>
      <c r="C144" s="141">
        <f t="shared" si="6"/>
        <v>2.4345433561661234</v>
      </c>
      <c r="D144" s="142" t="str">
        <f t="shared" si="7"/>
        <v xml:space="preserve"> </v>
      </c>
    </row>
    <row r="145" spans="2:4" ht="21" x14ac:dyDescent="0.5">
      <c r="B145" s="140">
        <v>138</v>
      </c>
      <c r="C145" s="141">
        <f t="shared" si="6"/>
        <v>2.4324143761872219</v>
      </c>
      <c r="D145" s="142" t="str">
        <f t="shared" si="7"/>
        <v xml:space="preserve"> </v>
      </c>
    </row>
    <row r="146" spans="2:4" ht="21" x14ac:dyDescent="0.5">
      <c r="B146" s="140">
        <v>139</v>
      </c>
      <c r="C146" s="141">
        <f t="shared" si="6"/>
        <v>2.4303026096959823</v>
      </c>
      <c r="D146" s="142" t="str">
        <f t="shared" si="7"/>
        <v xml:space="preserve"> </v>
      </c>
    </row>
    <row r="147" spans="2:4" ht="21" x14ac:dyDescent="0.5">
      <c r="B147" s="140">
        <v>140</v>
      </c>
      <c r="C147" s="141">
        <f t="shared" si="6"/>
        <v>2.4282077951701053</v>
      </c>
      <c r="D147" s="142" t="str">
        <f t="shared" si="7"/>
        <v xml:space="preserve"> </v>
      </c>
    </row>
    <row r="148" spans="2:4" ht="21" x14ac:dyDescent="0.5">
      <c r="B148" s="140">
        <v>141</v>
      </c>
      <c r="C148" s="141">
        <f t="shared" si="6"/>
        <v>2.4261296768929128</v>
      </c>
      <c r="D148" s="142" t="str">
        <f t="shared" si="7"/>
        <v xml:space="preserve"> </v>
      </c>
    </row>
    <row r="149" spans="2:4" ht="21" x14ac:dyDescent="0.5">
      <c r="B149" s="140">
        <v>142</v>
      </c>
      <c r="C149" s="141">
        <f t="shared" si="6"/>
        <v>2.4240680047843677</v>
      </c>
      <c r="D149" s="142" t="str">
        <f t="shared" si="7"/>
        <v xml:space="preserve"> </v>
      </c>
    </row>
    <row r="150" spans="2:4" ht="21" x14ac:dyDescent="0.5">
      <c r="B150" s="140">
        <v>143</v>
      </c>
      <c r="C150" s="141">
        <f t="shared" si="6"/>
        <v>2.4220225342381574</v>
      </c>
      <c r="D150" s="142" t="str">
        <f t="shared" si="7"/>
        <v xml:space="preserve"> </v>
      </c>
    </row>
    <row r="151" spans="2:4" ht="21" x14ac:dyDescent="0.5">
      <c r="B151" s="140">
        <v>144</v>
      </c>
      <c r="C151" s="141">
        <f t="shared" si="6"/>
        <v>2.4199930259645885</v>
      </c>
      <c r="D151" s="142" t="str">
        <f t="shared" si="7"/>
        <v xml:space="preserve"> </v>
      </c>
    </row>
    <row r="152" spans="2:4" ht="21" x14ac:dyDescent="0.5">
      <c r="B152" s="140">
        <v>145</v>
      </c>
      <c r="C152" s="141">
        <f t="shared" si="6"/>
        <v>2.4179792458390543</v>
      </c>
      <c r="D152" s="142" t="str">
        <f t="shared" si="7"/>
        <v xml:space="preserve"> </v>
      </c>
    </row>
    <row r="153" spans="2:4" ht="21" x14ac:dyDescent="0.5">
      <c r="B153" s="140">
        <v>146</v>
      </c>
      <c r="C153" s="141">
        <f t="shared" si="6"/>
        <v>2.4159809647558204</v>
      </c>
      <c r="D153" s="142" t="str">
        <f t="shared" si="7"/>
        <v xml:space="preserve"> </v>
      </c>
    </row>
    <row r="154" spans="2:4" ht="21" x14ac:dyDescent="0.5">
      <c r="B154" s="140">
        <v>147</v>
      </c>
      <c r="C154" s="141">
        <f t="shared" si="6"/>
        <v>2.4139979584869282</v>
      </c>
      <c r="D154" s="142" t="str">
        <f t="shared" si="7"/>
        <v xml:space="preserve"> </v>
      </c>
    </row>
    <row r="155" spans="2:4" ht="21" x14ac:dyDescent="0.5">
      <c r="B155" s="140">
        <v>148</v>
      </c>
      <c r="C155" s="141">
        <f t="shared" si="6"/>
        <v>2.4120300075459924</v>
      </c>
      <c r="D155" s="142" t="str">
        <f t="shared" si="7"/>
        <v xml:space="preserve"> </v>
      </c>
    </row>
    <row r="156" spans="2:4" ht="21" x14ac:dyDescent="0.5">
      <c r="B156" s="140">
        <v>149</v>
      </c>
      <c r="C156" s="141">
        <f t="shared" si="6"/>
        <v>2.4100768970566881</v>
      </c>
      <c r="D156" s="142" t="str">
        <f t="shared" si="7"/>
        <v xml:space="preserve"> </v>
      </c>
    </row>
    <row r="157" spans="2:4" ht="21" x14ac:dyDescent="0.5">
      <c r="B157" s="140">
        <v>150</v>
      </c>
      <c r="C157" s="141">
        <f t="shared" si="6"/>
        <v>2.4081384166257473</v>
      </c>
      <c r="D157" s="142" t="str">
        <f t="shared" si="7"/>
        <v xml:space="preserve"> </v>
      </c>
    </row>
    <row r="158" spans="2:4" ht="21" x14ac:dyDescent="0.5">
      <c r="B158" s="140">
        <v>151</v>
      </c>
      <c r="C158" s="141">
        <f t="shared" si="6"/>
        <v>2.4062143602202717</v>
      </c>
      <c r="D158" s="142" t="str">
        <f t="shared" si="7"/>
        <v xml:space="preserve"> </v>
      </c>
    </row>
    <row r="159" spans="2:4" ht="21" x14ac:dyDescent="0.5">
      <c r="B159" s="140">
        <v>152</v>
      </c>
      <c r="C159" s="141">
        <f t="shared" si="6"/>
        <v>2.4043045260491867</v>
      </c>
      <c r="D159" s="142" t="str">
        <f t="shared" si="7"/>
        <v xml:space="preserve"> </v>
      </c>
    </row>
    <row r="160" spans="2:4" ht="21" x14ac:dyDescent="0.5">
      <c r="B160" s="140">
        <v>153</v>
      </c>
      <c r="C160" s="141">
        <f t="shared" si="6"/>
        <v>2.4024087164486825</v>
      </c>
      <c r="D160" s="142" t="str">
        <f t="shared" si="7"/>
        <v xml:space="preserve"> </v>
      </c>
    </row>
    <row r="161" spans="2:4" ht="21" x14ac:dyDescent="0.5">
      <c r="B161" s="140">
        <v>154</v>
      </c>
      <c r="C161" s="141">
        <f t="shared" si="6"/>
        <v>2.4005267377714672</v>
      </c>
      <c r="D161" s="142" t="str">
        <f t="shared" si="7"/>
        <v xml:space="preserve"> </v>
      </c>
    </row>
    <row r="162" spans="2:4" ht="21" x14ac:dyDescent="0.5">
      <c r="B162" s="140">
        <v>155</v>
      </c>
      <c r="C162" s="141">
        <f t="shared" si="6"/>
        <v>2.3986584002796931</v>
      </c>
      <c r="D162" s="142" t="str">
        <f t="shared" si="7"/>
        <v xml:space="preserve"> </v>
      </c>
    </row>
    <row r="163" spans="2:4" ht="21" x14ac:dyDescent="0.5">
      <c r="B163" s="140">
        <v>156</v>
      </c>
      <c r="C163" s="141">
        <f t="shared" si="6"/>
        <v>2.3968035180414065</v>
      </c>
      <c r="D163" s="142" t="str">
        <f t="shared" si="7"/>
        <v xml:space="preserve"> </v>
      </c>
    </row>
    <row r="164" spans="2:4" ht="21" x14ac:dyDescent="0.5">
      <c r="B164" s="140">
        <v>157</v>
      </c>
      <c r="C164" s="141">
        <f t="shared" si="6"/>
        <v>2.3949619088303833</v>
      </c>
      <c r="D164" s="142" t="str">
        <f t="shared" si="7"/>
        <v xml:space="preserve"> </v>
      </c>
    </row>
    <row r="165" spans="2:4" ht="21" x14ac:dyDescent="0.5">
      <c r="B165" s="140">
        <v>158</v>
      </c>
      <c r="C165" s="141">
        <f t="shared" si="6"/>
        <v>2.3931333940292197</v>
      </c>
      <c r="D165" s="142" t="str">
        <f t="shared" si="7"/>
        <v xml:space="preserve"> </v>
      </c>
    </row>
    <row r="166" spans="2:4" ht="21" x14ac:dyDescent="0.5">
      <c r="B166" s="140">
        <v>159</v>
      </c>
      <c r="C166" s="141">
        <f t="shared" si="6"/>
        <v>2.3913177985355567</v>
      </c>
      <c r="D166" s="142" t="str">
        <f t="shared" si="7"/>
        <v xml:space="preserve"> </v>
      </c>
    </row>
    <row r="167" spans="2:4" ht="21" x14ac:dyDescent="0.5">
      <c r="B167" s="140">
        <v>160</v>
      </c>
      <c r="C167" s="141">
        <f t="shared" si="6"/>
        <v>2.3895149506713058</v>
      </c>
      <c r="D167" s="142" t="str">
        <f t="shared" si="7"/>
        <v xml:space="preserve"> </v>
      </c>
    </row>
    <row r="168" spans="2:4" ht="21" x14ac:dyDescent="0.5">
      <c r="B168" s="140">
        <v>161</v>
      </c>
      <c r="C168" s="141">
        <f t="shared" si="6"/>
        <v>2.3877246820947757</v>
      </c>
      <c r="D168" s="142" t="str">
        <f t="shared" si="7"/>
        <v xml:space="preserve"> </v>
      </c>
    </row>
    <row r="169" spans="2:4" ht="21" x14ac:dyDescent="0.5">
      <c r="B169" s="140">
        <v>162</v>
      </c>
      <c r="C169" s="141">
        <f t="shared" si="6"/>
        <v>2.3859468277155855</v>
      </c>
      <c r="D169" s="142" t="str">
        <f t="shared" si="7"/>
        <v xml:space="preserve"> </v>
      </c>
    </row>
    <row r="170" spans="2:4" ht="21" x14ac:dyDescent="0.5">
      <c r="B170" s="140">
        <v>163</v>
      </c>
      <c r="C170" s="141">
        <f t="shared" si="6"/>
        <v>2.3841812256122497</v>
      </c>
      <c r="D170" s="142" t="str">
        <f t="shared" si="7"/>
        <v xml:space="preserve"> </v>
      </c>
    </row>
    <row r="171" spans="2:4" ht="21" x14ac:dyDescent="0.5">
      <c r="B171" s="140">
        <v>164</v>
      </c>
      <c r="C171" s="141">
        <f t="shared" si="6"/>
        <v>2.3824277169523507</v>
      </c>
      <c r="D171" s="142" t="str">
        <f t="shared" si="7"/>
        <v xml:space="preserve"> </v>
      </c>
    </row>
    <row r="172" spans="2:4" ht="21" x14ac:dyDescent="0.5">
      <c r="B172" s="140">
        <v>165</v>
      </c>
      <c r="C172" s="141">
        <f>$C$5*(B172/$B$8)^(-$C$4)</f>
        <v>2.3806861459151953</v>
      </c>
      <c r="D172" s="142" t="str">
        <f t="shared" si="7"/>
        <v xml:space="preserve"> 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8"/>
  <sheetViews>
    <sheetView tabSelected="1" zoomScale="70" zoomScaleNormal="70" workbookViewId="0">
      <selection activeCell="P29" sqref="P29"/>
    </sheetView>
  </sheetViews>
  <sheetFormatPr defaultColWidth="13.36328125" defaultRowHeight="14" x14ac:dyDescent="0.35"/>
  <cols>
    <col min="1" max="1" width="3.36328125" style="3" customWidth="1"/>
    <col min="2" max="2" width="8.453125" style="3" customWidth="1"/>
    <col min="3" max="4" width="13.36328125" style="3"/>
    <col min="5" max="5" width="7.81640625" style="3" bestFit="1" customWidth="1"/>
    <col min="6" max="6" width="11.81640625" style="3" customWidth="1"/>
    <col min="7" max="7" width="13.453125" style="3" bestFit="1" customWidth="1"/>
    <col min="8" max="8" width="11.81640625" style="3" bestFit="1" customWidth="1"/>
    <col min="9" max="9" width="16.36328125" style="3" bestFit="1" customWidth="1"/>
    <col min="10" max="10" width="14.453125" style="3" customWidth="1"/>
    <col min="11" max="11" width="15" style="3" customWidth="1"/>
    <col min="12" max="12" width="16" style="3" bestFit="1" customWidth="1"/>
    <col min="13" max="13" width="16.6328125" style="3" customWidth="1"/>
    <col min="14" max="14" width="15.08984375" style="3" customWidth="1"/>
    <col min="15" max="15" width="18.1796875" style="3" customWidth="1"/>
    <col min="16" max="16384" width="13.36328125" style="3"/>
  </cols>
  <sheetData>
    <row r="2" spans="2:17" ht="42" x14ac:dyDescent="0.35">
      <c r="B2" s="111" t="s">
        <v>0</v>
      </c>
      <c r="C2" s="111" t="s">
        <v>6</v>
      </c>
      <c r="D2" s="111" t="s">
        <v>7</v>
      </c>
      <c r="E2" s="111" t="s">
        <v>1</v>
      </c>
      <c r="F2" s="111" t="s">
        <v>2</v>
      </c>
      <c r="G2" s="111" t="s">
        <v>3</v>
      </c>
      <c r="H2" s="111" t="s">
        <v>4</v>
      </c>
      <c r="I2" s="111" t="s">
        <v>5</v>
      </c>
      <c r="J2" s="111" t="s">
        <v>22</v>
      </c>
      <c r="K2" s="111" t="s">
        <v>23</v>
      </c>
      <c r="L2" s="112" t="s">
        <v>64</v>
      </c>
      <c r="M2" s="111" t="s">
        <v>27</v>
      </c>
      <c r="N2" s="111" t="s">
        <v>60</v>
      </c>
      <c r="O2" s="111" t="s">
        <v>63</v>
      </c>
      <c r="P2" s="111" t="s">
        <v>67</v>
      </c>
      <c r="Q2" s="111" t="s">
        <v>102</v>
      </c>
    </row>
    <row r="3" spans="2:17" x14ac:dyDescent="0.35">
      <c r="B3" s="13" t="s">
        <v>8</v>
      </c>
      <c r="C3" s="13" t="s">
        <v>9</v>
      </c>
      <c r="D3" s="13" t="s">
        <v>13</v>
      </c>
      <c r="E3" s="13" t="s">
        <v>10</v>
      </c>
      <c r="F3" s="13" t="s">
        <v>12</v>
      </c>
      <c r="G3" s="13" t="s">
        <v>80</v>
      </c>
      <c r="H3" s="13" t="s">
        <v>11</v>
      </c>
      <c r="I3" s="13" t="s">
        <v>29</v>
      </c>
      <c r="J3" s="1" t="s">
        <v>43</v>
      </c>
      <c r="K3" s="7" t="s">
        <v>25</v>
      </c>
      <c r="L3" s="103" t="s">
        <v>26</v>
      </c>
    </row>
    <row r="4" spans="2:17" x14ac:dyDescent="0.35">
      <c r="B4" s="2" t="s">
        <v>44</v>
      </c>
      <c r="C4" s="93">
        <v>22</v>
      </c>
      <c r="D4" s="2">
        <f>C4</f>
        <v>22</v>
      </c>
      <c r="E4" s="99">
        <v>800</v>
      </c>
      <c r="F4" s="5">
        <f>E4</f>
        <v>800</v>
      </c>
      <c r="G4" s="2">
        <f>_xlfn.FLOOR.MATH(VLOOKUP(B4,$K$23:$L$34,2,FALSE)*E4,1)</f>
        <v>120</v>
      </c>
      <c r="H4" s="108">
        <f>F4+G4</f>
        <v>920</v>
      </c>
      <c r="I4" s="4">
        <f>E4/C4</f>
        <v>36.363636363636367</v>
      </c>
      <c r="J4" s="4">
        <f>_xlfn.FLOOR.MATH(C4*$F$17,1)</f>
        <v>1760</v>
      </c>
      <c r="K4" s="109">
        <f>J4+G23</f>
        <v>2060</v>
      </c>
      <c r="L4" s="110">
        <f>K4-H4</f>
        <v>1140</v>
      </c>
      <c r="M4" s="8">
        <f>IF(L4&gt;0,L4*$G$24,ABS(L4*$G$25))</f>
        <v>79800</v>
      </c>
      <c r="N4" s="20" cm="1">
        <f t="array" ref="N4">_xlfn.IFS(J4&lt;$H$38,J4*$G$27,AND(J4&gt;=$H$38,J4&lt;=$I$38),J4*$G$27*(1-$G$38),J4&gt;$I$38,J4*$G$27*(1-$G$39))</f>
        <v>422400</v>
      </c>
      <c r="O4" s="20">
        <f>IF(L4&lt;$G$43,,$G$42)</f>
        <v>0</v>
      </c>
      <c r="P4" s="20">
        <f t="shared" ref="P4:P15" si="0">$G$48*$G$47*C4*$G$46*VLOOKUP(B4,$K$23:$M$34,3,FALSE)</f>
        <v>35200</v>
      </c>
      <c r="Q4" s="8">
        <f>SUM(M4:P4)</f>
        <v>537400</v>
      </c>
    </row>
    <row r="5" spans="2:17" x14ac:dyDescent="0.35">
      <c r="B5" s="2" t="s">
        <v>45</v>
      </c>
      <c r="C5" s="93">
        <v>10</v>
      </c>
      <c r="D5" s="2">
        <f>D4+C5</f>
        <v>32</v>
      </c>
      <c r="E5" s="99">
        <v>700</v>
      </c>
      <c r="F5" s="5">
        <f>F4+E5</f>
        <v>1500</v>
      </c>
      <c r="G5" s="2">
        <f t="shared" ref="G5:G15" si="1">_xlfn.FLOOR.MATH(VLOOKUP(B5,$K$23:$L$34,2,FALSE)*E5,1)</f>
        <v>105</v>
      </c>
      <c r="H5" s="108">
        <f>F5+G5</f>
        <v>1605</v>
      </c>
      <c r="I5" s="4">
        <f>E5/C5</f>
        <v>70</v>
      </c>
      <c r="J5" s="4">
        <f>_xlfn.FLOOR.MATH(C5*$F$17,1)</f>
        <v>800</v>
      </c>
      <c r="K5" s="109">
        <f>J5+K4</f>
        <v>2860</v>
      </c>
      <c r="L5" s="110">
        <f t="shared" ref="L4:L15" si="2">K5-H5</f>
        <v>1255</v>
      </c>
      <c r="M5" s="8">
        <f t="shared" ref="M4:M15" si="3">IF(L5&gt;0,L5*$G$24,ABS(L5*$G$25))</f>
        <v>87850</v>
      </c>
      <c r="N5" s="20" cm="1">
        <f t="array" ref="N5">_xlfn.IFS(J5&lt;$H$38,J5*$G$27,AND(J5&gt;=$H$38,J5&lt;=$I$38),J5*$G$27*(1-$G$38),J5&gt;$I$38,J5*$G$27*(1-$G$39))</f>
        <v>240000</v>
      </c>
      <c r="O5" s="20">
        <f t="shared" ref="O4:O15" si="4">IF(L5&lt;$G$43,,$G$42)</f>
        <v>0</v>
      </c>
      <c r="P5" s="20">
        <f t="shared" si="0"/>
        <v>16000</v>
      </c>
      <c r="Q5" s="8">
        <f>SUM(M5:P5)</f>
        <v>343850</v>
      </c>
    </row>
    <row r="6" spans="2:17" x14ac:dyDescent="0.35">
      <c r="B6" s="2" t="s">
        <v>46</v>
      </c>
      <c r="C6" s="93">
        <v>23</v>
      </c>
      <c r="D6" s="2">
        <f>D5+C6</f>
        <v>55</v>
      </c>
      <c r="E6" s="99">
        <v>1200</v>
      </c>
      <c r="F6" s="5">
        <f t="shared" ref="F6:F15" si="5">F5+E6</f>
        <v>2700</v>
      </c>
      <c r="G6" s="2">
        <f t="shared" si="1"/>
        <v>210</v>
      </c>
      <c r="H6" s="108">
        <f>F6+G6</f>
        <v>2910</v>
      </c>
      <c r="I6" s="4">
        <f t="shared" ref="I5:I15" si="6">E6/C6</f>
        <v>52.173913043478258</v>
      </c>
      <c r="J6" s="4">
        <f>_xlfn.FLOOR.MATH(C6*$F$17,1)</f>
        <v>1840</v>
      </c>
      <c r="K6" s="109">
        <f t="shared" ref="K6:K15" si="7">J6+K5</f>
        <v>4700</v>
      </c>
      <c r="L6" s="110">
        <f t="shared" si="2"/>
        <v>1790</v>
      </c>
      <c r="M6" s="8">
        <f t="shared" si="3"/>
        <v>125300</v>
      </c>
      <c r="N6" s="20" cm="1">
        <f t="array" ref="N6">_xlfn.IFS(J6&lt;$H$38,J6*$G$27,AND(J6&gt;=$H$38,J6&lt;=$I$38),J6*$G$27*(1-$G$38),J6&gt;$I$38,J6*$G$27*(1-$G$39))</f>
        <v>441600</v>
      </c>
      <c r="O6" s="20">
        <f t="shared" si="4"/>
        <v>10000</v>
      </c>
      <c r="P6" s="20">
        <f t="shared" si="0"/>
        <v>36800</v>
      </c>
      <c r="Q6" s="8">
        <f t="shared" ref="Q5:Q15" si="8">SUM(M6:P6)</f>
        <v>613700</v>
      </c>
    </row>
    <row r="7" spans="2:17" x14ac:dyDescent="0.35">
      <c r="B7" s="2" t="s">
        <v>47</v>
      </c>
      <c r="C7" s="93">
        <v>19</v>
      </c>
      <c r="D7" s="2">
        <f>D6+C7</f>
        <v>74</v>
      </c>
      <c r="E7" s="99">
        <v>1600</v>
      </c>
      <c r="F7" s="5">
        <f>F6+E7</f>
        <v>4300</v>
      </c>
      <c r="G7" s="2">
        <f t="shared" si="1"/>
        <v>280</v>
      </c>
      <c r="H7" s="108">
        <f t="shared" ref="H5:H15" si="9">F7+G7</f>
        <v>4580</v>
      </c>
      <c r="I7" s="4">
        <f t="shared" si="6"/>
        <v>84.21052631578948</v>
      </c>
      <c r="J7" s="4">
        <f>_xlfn.FLOOR.MATH(C7*$F$17,1)</f>
        <v>1520</v>
      </c>
      <c r="K7" s="109">
        <f t="shared" si="7"/>
        <v>6220</v>
      </c>
      <c r="L7" s="110">
        <f t="shared" si="2"/>
        <v>1640</v>
      </c>
      <c r="M7" s="8">
        <f t="shared" si="3"/>
        <v>114800</v>
      </c>
      <c r="N7" s="20" cm="1">
        <f t="array" ref="N7">_xlfn.IFS(J7&lt;$H$38,J7*$G$27,AND(J7&gt;=$H$38,J7&lt;=$I$38),J7*$G$27*(1-$G$38),J7&gt;$I$38,J7*$G$27*(1-$G$39))</f>
        <v>387600</v>
      </c>
      <c r="O7" s="20">
        <f t="shared" si="4"/>
        <v>0</v>
      </c>
      <c r="P7" s="20">
        <f t="shared" si="0"/>
        <v>45600</v>
      </c>
      <c r="Q7" s="8">
        <f t="shared" si="8"/>
        <v>548000</v>
      </c>
    </row>
    <row r="8" spans="2:17" x14ac:dyDescent="0.35">
      <c r="B8" s="2" t="s">
        <v>48</v>
      </c>
      <c r="C8" s="93">
        <v>22</v>
      </c>
      <c r="D8" s="2">
        <f t="shared" ref="D6:D15" si="10">D7+C8</f>
        <v>96</v>
      </c>
      <c r="E8" s="99">
        <v>2200</v>
      </c>
      <c r="F8" s="5">
        <f t="shared" si="5"/>
        <v>6500</v>
      </c>
      <c r="G8" s="2">
        <f t="shared" si="1"/>
        <v>550</v>
      </c>
      <c r="H8" s="108">
        <f t="shared" si="9"/>
        <v>7050</v>
      </c>
      <c r="I8" s="4">
        <f t="shared" si="6"/>
        <v>100</v>
      </c>
      <c r="J8" s="4">
        <f t="shared" ref="J5:J15" si="11">_xlfn.FLOOR.MATH(C8*$F$17,1)</f>
        <v>1760</v>
      </c>
      <c r="K8" s="109">
        <f t="shared" si="7"/>
        <v>7980</v>
      </c>
      <c r="L8" s="110">
        <f t="shared" si="2"/>
        <v>930</v>
      </c>
      <c r="M8" s="8">
        <f t="shared" si="3"/>
        <v>65100</v>
      </c>
      <c r="N8" s="20" cm="1">
        <f t="array" ref="N8">_xlfn.IFS(J8&lt;$H$38,J8*$G$27,AND(J8&gt;=$H$38,J8&lt;=$I$38),J8*$G$27*(1-$G$38),J8&gt;$I$38,J8*$G$27*(1-$G$39))</f>
        <v>422400</v>
      </c>
      <c r="O8" s="20">
        <f t="shared" si="4"/>
        <v>0</v>
      </c>
      <c r="P8" s="20">
        <f t="shared" si="0"/>
        <v>35200</v>
      </c>
      <c r="Q8" s="8">
        <f t="shared" si="8"/>
        <v>522700</v>
      </c>
    </row>
    <row r="9" spans="2:17" x14ac:dyDescent="0.35">
      <c r="B9" s="2" t="s">
        <v>49</v>
      </c>
      <c r="C9" s="93">
        <v>22</v>
      </c>
      <c r="D9" s="2">
        <f t="shared" si="10"/>
        <v>118</v>
      </c>
      <c r="E9" s="99">
        <v>2800</v>
      </c>
      <c r="F9" s="5">
        <f t="shared" si="5"/>
        <v>9300</v>
      </c>
      <c r="G9" s="2">
        <f t="shared" si="1"/>
        <v>980</v>
      </c>
      <c r="H9" s="108">
        <f t="shared" si="9"/>
        <v>10280</v>
      </c>
      <c r="I9" s="4">
        <f t="shared" si="6"/>
        <v>127.27272727272727</v>
      </c>
      <c r="J9" s="4">
        <f t="shared" si="11"/>
        <v>1760</v>
      </c>
      <c r="K9" s="109">
        <f t="shared" si="7"/>
        <v>9740</v>
      </c>
      <c r="L9" s="110">
        <f t="shared" si="2"/>
        <v>-540</v>
      </c>
      <c r="M9" s="8">
        <f t="shared" si="3"/>
        <v>378000</v>
      </c>
      <c r="N9" s="20" cm="1">
        <f t="array" ref="N9">_xlfn.IFS(J9&lt;$H$38,J9*$G$27,AND(J9&gt;=$H$38,J9&lt;=$I$38),J9*$G$27*(1-$G$38),J9&gt;$I$38,J9*$G$27*(1-$G$39))</f>
        <v>422400</v>
      </c>
      <c r="O9" s="20">
        <f t="shared" si="4"/>
        <v>0</v>
      </c>
      <c r="P9" s="20">
        <f t="shared" si="0"/>
        <v>35200</v>
      </c>
      <c r="Q9" s="8">
        <f t="shared" si="8"/>
        <v>835600</v>
      </c>
    </row>
    <row r="10" spans="2:17" x14ac:dyDescent="0.35">
      <c r="B10" s="2" t="s">
        <v>50</v>
      </c>
      <c r="C10" s="93">
        <v>20</v>
      </c>
      <c r="D10" s="2">
        <f t="shared" si="10"/>
        <v>138</v>
      </c>
      <c r="E10" s="99">
        <v>2700</v>
      </c>
      <c r="F10" s="5">
        <f t="shared" si="5"/>
        <v>12000</v>
      </c>
      <c r="G10" s="2">
        <f t="shared" si="1"/>
        <v>810</v>
      </c>
      <c r="H10" s="108">
        <f t="shared" si="9"/>
        <v>12810</v>
      </c>
      <c r="I10" s="4">
        <f t="shared" si="6"/>
        <v>135</v>
      </c>
      <c r="J10" s="4">
        <f t="shared" si="11"/>
        <v>1600</v>
      </c>
      <c r="K10" s="109">
        <f t="shared" si="7"/>
        <v>11340</v>
      </c>
      <c r="L10" s="110">
        <f t="shared" si="2"/>
        <v>-1470</v>
      </c>
      <c r="M10" s="8">
        <f t="shared" si="3"/>
        <v>1029000</v>
      </c>
      <c r="N10" s="20" cm="1">
        <f t="array" ref="N10">_xlfn.IFS(J10&lt;$H$38,J10*$G$27,AND(J10&gt;=$H$38,J10&lt;=$I$38),J10*$G$27*(1-$G$38),J10&gt;$I$38,J10*$G$27*(1-$G$39))</f>
        <v>408000</v>
      </c>
      <c r="O10" s="20">
        <f t="shared" si="4"/>
        <v>0</v>
      </c>
      <c r="P10" s="20">
        <f t="shared" si="0"/>
        <v>32000</v>
      </c>
      <c r="Q10" s="8">
        <f t="shared" si="8"/>
        <v>1469000</v>
      </c>
    </row>
    <row r="11" spans="2:17" x14ac:dyDescent="0.35">
      <c r="B11" s="2" t="s">
        <v>51</v>
      </c>
      <c r="C11" s="93">
        <v>23</v>
      </c>
      <c r="D11" s="2">
        <f t="shared" si="10"/>
        <v>161</v>
      </c>
      <c r="E11" s="99">
        <v>1300</v>
      </c>
      <c r="F11" s="5">
        <f t="shared" si="5"/>
        <v>13300</v>
      </c>
      <c r="G11" s="2">
        <f t="shared" si="1"/>
        <v>390</v>
      </c>
      <c r="H11" s="108">
        <f t="shared" si="9"/>
        <v>13690</v>
      </c>
      <c r="I11" s="4">
        <f t="shared" si="6"/>
        <v>56.521739130434781</v>
      </c>
      <c r="J11" s="4">
        <f t="shared" si="11"/>
        <v>1840</v>
      </c>
      <c r="K11" s="109">
        <f t="shared" si="7"/>
        <v>13180</v>
      </c>
      <c r="L11" s="110">
        <f t="shared" si="2"/>
        <v>-510</v>
      </c>
      <c r="M11" s="8">
        <f t="shared" si="3"/>
        <v>357000</v>
      </c>
      <c r="N11" s="20" cm="1">
        <f t="array" ref="N11">_xlfn.IFS(J11&lt;$H$38,J11*$G$27,AND(J11&gt;=$H$38,J11&lt;=$I$38),J11*$G$27*(1-$G$38),J11&gt;$I$38,J11*$G$27*(1-$G$39))</f>
        <v>441600</v>
      </c>
      <c r="O11" s="20">
        <f t="shared" si="4"/>
        <v>0</v>
      </c>
      <c r="P11" s="20">
        <f t="shared" si="0"/>
        <v>55200</v>
      </c>
      <c r="Q11" s="8">
        <f t="shared" si="8"/>
        <v>853800</v>
      </c>
    </row>
    <row r="12" spans="2:17" x14ac:dyDescent="0.35">
      <c r="B12" s="2" t="s">
        <v>52</v>
      </c>
      <c r="C12" s="93">
        <v>21</v>
      </c>
      <c r="D12" s="2">
        <f t="shared" si="10"/>
        <v>182</v>
      </c>
      <c r="E12" s="99">
        <v>800</v>
      </c>
      <c r="F12" s="5">
        <f t="shared" si="5"/>
        <v>14100</v>
      </c>
      <c r="G12" s="2">
        <f t="shared" si="1"/>
        <v>160</v>
      </c>
      <c r="H12" s="108">
        <f t="shared" si="9"/>
        <v>14260</v>
      </c>
      <c r="I12" s="4">
        <f t="shared" si="6"/>
        <v>38.095238095238095</v>
      </c>
      <c r="J12" s="4">
        <f t="shared" si="11"/>
        <v>1680</v>
      </c>
      <c r="K12" s="109">
        <f t="shared" si="7"/>
        <v>14860</v>
      </c>
      <c r="L12" s="110">
        <f t="shared" si="2"/>
        <v>600</v>
      </c>
      <c r="M12" s="8">
        <f t="shared" si="3"/>
        <v>42000</v>
      </c>
      <c r="N12" s="20" cm="1">
        <f t="array" ref="N12">_xlfn.IFS(J12&lt;$H$38,J12*$G$27,AND(J12&gt;=$H$38,J12&lt;=$I$38),J12*$G$27*(1-$G$38),J12&gt;$I$38,J12*$G$27*(1-$G$39))</f>
        <v>428400</v>
      </c>
      <c r="O12" s="20">
        <f t="shared" si="4"/>
        <v>0</v>
      </c>
      <c r="P12" s="20">
        <f t="shared" si="0"/>
        <v>33600</v>
      </c>
      <c r="Q12" s="8">
        <f t="shared" si="8"/>
        <v>504000</v>
      </c>
    </row>
    <row r="13" spans="2:17" x14ac:dyDescent="0.35">
      <c r="B13" s="2" t="s">
        <v>53</v>
      </c>
      <c r="C13" s="93">
        <v>22</v>
      </c>
      <c r="D13" s="2">
        <f t="shared" si="10"/>
        <v>204</v>
      </c>
      <c r="E13" s="99">
        <v>1800</v>
      </c>
      <c r="F13" s="5">
        <f t="shared" si="5"/>
        <v>15900</v>
      </c>
      <c r="G13" s="2">
        <f t="shared" si="1"/>
        <v>450</v>
      </c>
      <c r="H13" s="108">
        <f t="shared" si="9"/>
        <v>16350</v>
      </c>
      <c r="I13" s="4">
        <f t="shared" si="6"/>
        <v>81.818181818181813</v>
      </c>
      <c r="J13" s="4">
        <f t="shared" si="11"/>
        <v>1760</v>
      </c>
      <c r="K13" s="109">
        <f t="shared" si="7"/>
        <v>16620</v>
      </c>
      <c r="L13" s="110">
        <f t="shared" si="2"/>
        <v>270</v>
      </c>
      <c r="M13" s="8">
        <f t="shared" si="3"/>
        <v>18900</v>
      </c>
      <c r="N13" s="20" cm="1">
        <f t="array" ref="N13">_xlfn.IFS(J13&lt;$H$38,J13*$G$27,AND(J13&gt;=$H$38,J13&lt;=$I$38),J13*$G$27*(1-$G$38),J13&gt;$I$38,J13*$G$27*(1-$G$39))</f>
        <v>422400</v>
      </c>
      <c r="O13" s="20">
        <f t="shared" si="4"/>
        <v>0</v>
      </c>
      <c r="P13" s="20">
        <f t="shared" si="0"/>
        <v>35200</v>
      </c>
      <c r="Q13" s="8">
        <f t="shared" si="8"/>
        <v>476500</v>
      </c>
    </row>
    <row r="14" spans="2:17" x14ac:dyDescent="0.35">
      <c r="B14" s="2" t="s">
        <v>54</v>
      </c>
      <c r="C14" s="93">
        <v>22</v>
      </c>
      <c r="D14" s="2">
        <f t="shared" si="10"/>
        <v>226</v>
      </c>
      <c r="E14" s="99">
        <v>2500</v>
      </c>
      <c r="F14" s="5">
        <f t="shared" si="5"/>
        <v>18400</v>
      </c>
      <c r="G14" s="2">
        <f t="shared" si="1"/>
        <v>625</v>
      </c>
      <c r="H14" s="108">
        <f t="shared" si="9"/>
        <v>19025</v>
      </c>
      <c r="I14" s="4">
        <f t="shared" si="6"/>
        <v>113.63636363636364</v>
      </c>
      <c r="J14" s="4">
        <f t="shared" si="11"/>
        <v>1760</v>
      </c>
      <c r="K14" s="109">
        <f t="shared" si="7"/>
        <v>18380</v>
      </c>
      <c r="L14" s="110">
        <f t="shared" si="2"/>
        <v>-645</v>
      </c>
      <c r="M14" s="8">
        <f t="shared" si="3"/>
        <v>451500</v>
      </c>
      <c r="N14" s="20" cm="1">
        <f t="array" ref="N14">_xlfn.IFS(J14&lt;$H$38,J14*$G$27,AND(J14&gt;=$H$38,J14&lt;=$I$38),J14*$G$27*(1-$G$38),J14&gt;$I$38,J14*$G$27*(1-$G$39))</f>
        <v>422400</v>
      </c>
      <c r="O14" s="20">
        <f t="shared" si="4"/>
        <v>0</v>
      </c>
      <c r="P14" s="20">
        <f t="shared" si="0"/>
        <v>35200</v>
      </c>
      <c r="Q14" s="8">
        <f t="shared" si="8"/>
        <v>909100</v>
      </c>
    </row>
    <row r="15" spans="2:17" x14ac:dyDescent="0.35">
      <c r="B15" s="2" t="s">
        <v>55</v>
      </c>
      <c r="C15" s="93">
        <v>18</v>
      </c>
      <c r="D15" s="2">
        <f t="shared" si="10"/>
        <v>244</v>
      </c>
      <c r="E15" s="99">
        <v>900</v>
      </c>
      <c r="F15" s="5">
        <f t="shared" si="5"/>
        <v>19300</v>
      </c>
      <c r="G15" s="2">
        <f t="shared" si="1"/>
        <v>135</v>
      </c>
      <c r="H15" s="108">
        <f t="shared" si="9"/>
        <v>19435</v>
      </c>
      <c r="I15" s="4">
        <f t="shared" si="6"/>
        <v>50</v>
      </c>
      <c r="J15" s="4">
        <f t="shared" si="11"/>
        <v>1440</v>
      </c>
      <c r="K15" s="109">
        <f>J15+K14</f>
        <v>19820</v>
      </c>
      <c r="L15" s="110">
        <f t="shared" si="2"/>
        <v>385</v>
      </c>
      <c r="M15" s="8">
        <f t="shared" si="3"/>
        <v>26950</v>
      </c>
      <c r="N15" s="20" cm="1">
        <f t="array" ref="N15">_xlfn.IFS(J15&lt;$H$38,J15*$G$27,AND(J15&gt;=$H$38,J15&lt;=$I$38),J15*$G$27*(1-$G$38),J15&gt;$I$38,J15*$G$27*(1-$G$39))</f>
        <v>367200</v>
      </c>
      <c r="O15" s="20">
        <f t="shared" si="4"/>
        <v>0</v>
      </c>
      <c r="P15" s="20">
        <f t="shared" si="0"/>
        <v>57600</v>
      </c>
      <c r="Q15" s="8">
        <f t="shared" si="8"/>
        <v>451750</v>
      </c>
    </row>
    <row r="17" spans="2:15" x14ac:dyDescent="0.35">
      <c r="B17" s="149" t="s">
        <v>21</v>
      </c>
      <c r="C17" s="149"/>
      <c r="D17" s="149"/>
      <c r="F17" s="21">
        <f>IF(($H$15/$D$15)&lt;$G$22,_xlfn.CEILING.MATH(($H$15/$D$15),1),$G$22)</f>
        <v>80</v>
      </c>
      <c r="G17" s="6">
        <f>(H15-G23)/D15</f>
        <v>78.422131147540981</v>
      </c>
      <c r="H17" s="6"/>
      <c r="J17" s="123"/>
      <c r="K17" s="6"/>
      <c r="L17" s="124">
        <f>SUMIF(L4:L15,"&lt;0")</f>
        <v>-3165</v>
      </c>
      <c r="N17" s="26" t="s">
        <v>57</v>
      </c>
      <c r="O17" s="33">
        <f>SUM(M4:P15)</f>
        <v>8065400</v>
      </c>
    </row>
    <row r="18" spans="2:15" x14ac:dyDescent="0.35">
      <c r="J18" s="6"/>
      <c r="N18" s="29" t="s">
        <v>58</v>
      </c>
      <c r="O18" s="31">
        <f>IF(L15&gt;=0,($K$15-$L$15)*$G$28,$K$15*$G$28)</f>
        <v>15548000</v>
      </c>
    </row>
    <row r="19" spans="2:15" x14ac:dyDescent="0.35">
      <c r="N19" s="28" t="s">
        <v>59</v>
      </c>
      <c r="O19" s="34">
        <f>O18-O17</f>
        <v>7482600</v>
      </c>
    </row>
    <row r="21" spans="2:15" ht="14.5" thickBot="1" x14ac:dyDescent="0.4"/>
    <row r="22" spans="2:15" ht="14.5" thickBot="1" x14ac:dyDescent="0.4">
      <c r="B22" s="157" t="s">
        <v>15</v>
      </c>
      <c r="C22" s="158"/>
      <c r="D22" s="158"/>
      <c r="E22" s="158"/>
      <c r="F22" s="158"/>
      <c r="G22" s="48">
        <f>($G$48*$G$46)/$G$35</f>
        <v>84.009393822517083</v>
      </c>
      <c r="K22" s="171" t="s">
        <v>3</v>
      </c>
      <c r="L22" s="172"/>
      <c r="M22" s="52" t="s">
        <v>78</v>
      </c>
    </row>
    <row r="23" spans="2:15" x14ac:dyDescent="0.35">
      <c r="B23" s="159" t="s">
        <v>14</v>
      </c>
      <c r="C23" s="160"/>
      <c r="D23" s="160"/>
      <c r="E23" s="160"/>
      <c r="F23" s="161"/>
      <c r="G23" s="36">
        <v>300</v>
      </c>
      <c r="K23" s="42" t="s">
        <v>44</v>
      </c>
      <c r="L23" s="43">
        <v>0.15</v>
      </c>
      <c r="M23" s="53">
        <v>1</v>
      </c>
    </row>
    <row r="24" spans="2:15" x14ac:dyDescent="0.35">
      <c r="B24" s="155" t="s">
        <v>17</v>
      </c>
      <c r="C24" s="156"/>
      <c r="D24" s="156"/>
      <c r="E24" s="156"/>
      <c r="F24" s="156"/>
      <c r="G24" s="36">
        <v>70</v>
      </c>
      <c r="K24" s="44" t="s">
        <v>45</v>
      </c>
      <c r="L24" s="45">
        <v>0.15</v>
      </c>
      <c r="M24" s="54">
        <v>1</v>
      </c>
    </row>
    <row r="25" spans="2:15" x14ac:dyDescent="0.35">
      <c r="B25" s="155" t="s">
        <v>18</v>
      </c>
      <c r="C25" s="156"/>
      <c r="D25" s="156"/>
      <c r="E25" s="156"/>
      <c r="F25" s="156"/>
      <c r="G25" s="36">
        <v>700</v>
      </c>
      <c r="K25" s="44" t="s">
        <v>46</v>
      </c>
      <c r="L25" s="45">
        <v>0.17499999999999999</v>
      </c>
      <c r="M25" s="54">
        <v>1</v>
      </c>
    </row>
    <row r="26" spans="2:15" x14ac:dyDescent="0.35">
      <c r="B26" s="155" t="s">
        <v>19</v>
      </c>
      <c r="C26" s="156"/>
      <c r="D26" s="156"/>
      <c r="E26" s="156"/>
      <c r="F26" s="156"/>
      <c r="G26" s="36">
        <v>400</v>
      </c>
      <c r="K26" s="44" t="s">
        <v>47</v>
      </c>
      <c r="L26" s="45">
        <v>0.17499999999999999</v>
      </c>
      <c r="M26" s="54">
        <v>1.5</v>
      </c>
    </row>
    <row r="27" spans="2:15" x14ac:dyDescent="0.35">
      <c r="B27" s="155" t="s">
        <v>68</v>
      </c>
      <c r="C27" s="156"/>
      <c r="D27" s="156"/>
      <c r="E27" s="156"/>
      <c r="F27" s="156"/>
      <c r="G27" s="36">
        <v>300</v>
      </c>
      <c r="K27" s="44" t="s">
        <v>48</v>
      </c>
      <c r="L27" s="45">
        <v>0.25</v>
      </c>
      <c r="M27" s="54">
        <v>1</v>
      </c>
    </row>
    <row r="28" spans="2:15" ht="14.5" thickBot="1" x14ac:dyDescent="0.4">
      <c r="B28" s="153" t="s">
        <v>56</v>
      </c>
      <c r="C28" s="154"/>
      <c r="D28" s="154"/>
      <c r="E28" s="154"/>
      <c r="F28" s="154"/>
      <c r="G28" s="95">
        <v>800</v>
      </c>
      <c r="K28" s="44" t="s">
        <v>49</v>
      </c>
      <c r="L28" s="45">
        <v>0.35</v>
      </c>
      <c r="M28" s="54">
        <v>1</v>
      </c>
    </row>
    <row r="29" spans="2:15" ht="14.5" thickBot="1" x14ac:dyDescent="0.4">
      <c r="K29" s="44" t="s">
        <v>50</v>
      </c>
      <c r="L29" s="45">
        <v>0.3</v>
      </c>
      <c r="M29" s="54">
        <v>1</v>
      </c>
    </row>
    <row r="30" spans="2:15" ht="14.5" thickBot="1" x14ac:dyDescent="0.4">
      <c r="B30" s="162" t="s">
        <v>91</v>
      </c>
      <c r="C30" s="163"/>
      <c r="D30" s="163"/>
      <c r="E30" s="163"/>
      <c r="F30" s="163"/>
      <c r="G30" s="164"/>
      <c r="K30" s="44" t="s">
        <v>51</v>
      </c>
      <c r="L30" s="45">
        <v>0.3</v>
      </c>
      <c r="M30" s="54">
        <v>1.5</v>
      </c>
    </row>
    <row r="31" spans="2:15" x14ac:dyDescent="0.35">
      <c r="B31" s="157" t="s">
        <v>69</v>
      </c>
      <c r="C31" s="158"/>
      <c r="D31" s="158"/>
      <c r="E31" s="158"/>
      <c r="F31" s="158"/>
      <c r="G31" s="96">
        <v>0.08</v>
      </c>
      <c r="K31" s="44" t="s">
        <v>52</v>
      </c>
      <c r="L31" s="45">
        <v>0.2</v>
      </c>
      <c r="M31" s="54">
        <v>1</v>
      </c>
    </row>
    <row r="32" spans="2:15" x14ac:dyDescent="0.35">
      <c r="B32" s="155" t="s">
        <v>70</v>
      </c>
      <c r="C32" s="156"/>
      <c r="D32" s="156"/>
      <c r="E32" s="156"/>
      <c r="F32" s="156"/>
      <c r="G32" s="36">
        <v>4.4000000000000004</v>
      </c>
      <c r="K32" s="44" t="s">
        <v>53</v>
      </c>
      <c r="L32" s="45">
        <v>0.25</v>
      </c>
      <c r="M32" s="54">
        <v>1</v>
      </c>
    </row>
    <row r="33" spans="2:13" x14ac:dyDescent="0.35">
      <c r="B33" s="155" t="s">
        <v>105</v>
      </c>
      <c r="C33" s="156"/>
      <c r="D33" s="156"/>
      <c r="E33" s="156"/>
      <c r="F33" s="156"/>
      <c r="G33" s="36">
        <v>165</v>
      </c>
      <c r="K33" s="44" t="s">
        <v>54</v>
      </c>
      <c r="L33" s="45">
        <v>0.25</v>
      </c>
      <c r="M33" s="54">
        <v>1</v>
      </c>
    </row>
    <row r="34" spans="2:13" ht="14.5" thickBot="1" x14ac:dyDescent="0.4">
      <c r="B34" s="155" t="s">
        <v>71</v>
      </c>
      <c r="C34" s="156"/>
      <c r="D34" s="156"/>
      <c r="E34" s="156"/>
      <c r="F34" s="156"/>
      <c r="G34" s="37">
        <f>-(LN(1-$G$31)/LN(2))</f>
        <v>0.12029423371771177</v>
      </c>
      <c r="K34" s="46" t="s">
        <v>55</v>
      </c>
      <c r="L34" s="47">
        <v>0.15</v>
      </c>
      <c r="M34" s="55">
        <v>2</v>
      </c>
    </row>
    <row r="35" spans="2:13" ht="14.5" thickBot="1" x14ac:dyDescent="0.4">
      <c r="B35" s="153" t="s">
        <v>106</v>
      </c>
      <c r="C35" s="154"/>
      <c r="D35" s="154"/>
      <c r="E35" s="154"/>
      <c r="F35" s="154"/>
      <c r="G35" s="148">
        <f>$G$32*($G$33)^-$G$34</f>
        <v>2.3806861459151953</v>
      </c>
    </row>
    <row r="36" spans="2:13" ht="14.5" thickBot="1" x14ac:dyDescent="0.4"/>
    <row r="37" spans="2:13" ht="14.5" thickBot="1" x14ac:dyDescent="0.4">
      <c r="B37" s="165" t="s">
        <v>93</v>
      </c>
      <c r="C37" s="166"/>
      <c r="D37" s="166"/>
      <c r="E37" s="166"/>
      <c r="F37" s="166"/>
      <c r="G37" s="167"/>
    </row>
    <row r="38" spans="2:13" ht="14.5" thickBot="1" x14ac:dyDescent="0.4">
      <c r="B38" s="157" t="s">
        <v>103</v>
      </c>
      <c r="C38" s="158"/>
      <c r="D38" s="158"/>
      <c r="E38" s="158"/>
      <c r="F38" s="158"/>
      <c r="G38" s="97">
        <v>0.15</v>
      </c>
      <c r="H38" s="40">
        <v>1000</v>
      </c>
      <c r="I38" s="41">
        <v>1700</v>
      </c>
    </row>
    <row r="39" spans="2:13" ht="14.5" thickBot="1" x14ac:dyDescent="0.4">
      <c r="B39" s="153" t="s">
        <v>104</v>
      </c>
      <c r="C39" s="154"/>
      <c r="D39" s="154"/>
      <c r="E39" s="154"/>
      <c r="F39" s="154"/>
      <c r="G39" s="39">
        <v>0.2</v>
      </c>
    </row>
    <row r="40" spans="2:13" ht="14.5" thickBot="1" x14ac:dyDescent="0.4"/>
    <row r="41" spans="2:13" ht="14.5" thickBot="1" x14ac:dyDescent="0.4">
      <c r="B41" s="168" t="s">
        <v>90</v>
      </c>
      <c r="C41" s="169"/>
      <c r="D41" s="169"/>
      <c r="E41" s="169"/>
      <c r="F41" s="169"/>
      <c r="G41" s="170"/>
    </row>
    <row r="42" spans="2:13" x14ac:dyDescent="0.35">
      <c r="B42" s="150" t="s">
        <v>61</v>
      </c>
      <c r="C42" s="151"/>
      <c r="D42" s="151"/>
      <c r="E42" s="151"/>
      <c r="F42" s="152"/>
      <c r="G42" s="94">
        <v>10000</v>
      </c>
    </row>
    <row r="43" spans="2:13" ht="16" customHeight="1" thickBot="1" x14ac:dyDescent="0.4">
      <c r="B43" s="176" t="s">
        <v>62</v>
      </c>
      <c r="C43" s="177"/>
      <c r="D43" s="177"/>
      <c r="E43" s="177"/>
      <c r="F43" s="178"/>
      <c r="G43" s="95">
        <v>1700</v>
      </c>
    </row>
    <row r="44" spans="2:13" ht="15" customHeight="1" thickBot="1" x14ac:dyDescent="0.4"/>
    <row r="45" spans="2:13" ht="16" customHeight="1" thickBot="1" x14ac:dyDescent="0.4">
      <c r="B45" s="173" t="s">
        <v>92</v>
      </c>
      <c r="C45" s="174"/>
      <c r="D45" s="174"/>
      <c r="E45" s="174"/>
      <c r="F45" s="174"/>
      <c r="G45" s="175"/>
    </row>
    <row r="46" spans="2:13" x14ac:dyDescent="0.35">
      <c r="B46" s="150" t="s">
        <v>73</v>
      </c>
      <c r="C46" s="151"/>
      <c r="D46" s="151"/>
      <c r="E46" s="151"/>
      <c r="F46" s="152"/>
      <c r="G46" s="94">
        <v>8</v>
      </c>
    </row>
    <row r="47" spans="2:13" ht="16" customHeight="1" x14ac:dyDescent="0.35">
      <c r="B47" s="159" t="s">
        <v>65</v>
      </c>
      <c r="C47" s="160"/>
      <c r="D47" s="160"/>
      <c r="E47" s="160"/>
      <c r="F47" s="161"/>
      <c r="G47" s="36">
        <v>8</v>
      </c>
    </row>
    <row r="48" spans="2:13" ht="15" customHeight="1" thickBot="1" x14ac:dyDescent="0.4">
      <c r="B48" s="153" t="s">
        <v>66</v>
      </c>
      <c r="C48" s="154"/>
      <c r="D48" s="154"/>
      <c r="E48" s="154"/>
      <c r="F48" s="154"/>
      <c r="G48" s="95">
        <v>25</v>
      </c>
    </row>
  </sheetData>
  <mergeCells count="25">
    <mergeCell ref="B45:G45"/>
    <mergeCell ref="B46:F46"/>
    <mergeCell ref="B47:F47"/>
    <mergeCell ref="B48:F48"/>
    <mergeCell ref="B43:F43"/>
    <mergeCell ref="K22:L22"/>
    <mergeCell ref="B31:F31"/>
    <mergeCell ref="B32:F32"/>
    <mergeCell ref="B33:F33"/>
    <mergeCell ref="B34:F34"/>
    <mergeCell ref="B17:D17"/>
    <mergeCell ref="B42:F42"/>
    <mergeCell ref="B28:F28"/>
    <mergeCell ref="B27:F27"/>
    <mergeCell ref="B38:F38"/>
    <mergeCell ref="B39:F39"/>
    <mergeCell ref="B24:F24"/>
    <mergeCell ref="B25:F25"/>
    <mergeCell ref="B26:F26"/>
    <mergeCell ref="B22:F22"/>
    <mergeCell ref="B35:F35"/>
    <mergeCell ref="B23:F23"/>
    <mergeCell ref="B30:G30"/>
    <mergeCell ref="B37:G37"/>
    <mergeCell ref="B41:G41"/>
  </mergeCells>
  <phoneticPr fontId="6" type="noConversion"/>
  <pageMargins left="0.7" right="0.7" top="0.75" bottom="0.75" header="0.3" footer="0.3"/>
  <pageSetup orientation="portrait" r:id="rId1"/>
  <ignoredErrors>
    <ignoredError sqref="E3 B3:C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48"/>
  <sheetViews>
    <sheetView zoomScale="55" zoomScaleNormal="55" workbookViewId="0">
      <selection activeCell="U4" sqref="U4"/>
    </sheetView>
  </sheetViews>
  <sheetFormatPr defaultColWidth="13.36328125" defaultRowHeight="14" x14ac:dyDescent="0.35"/>
  <cols>
    <col min="1" max="1" width="3.36328125" style="3" customWidth="1"/>
    <col min="2" max="2" width="8.453125" style="3" customWidth="1"/>
    <col min="3" max="4" width="13.36328125" style="3"/>
    <col min="5" max="5" width="9.36328125" style="3" customWidth="1"/>
    <col min="6" max="6" width="11.453125" style="3" customWidth="1"/>
    <col min="7" max="7" width="12.81640625" style="3" bestFit="1" customWidth="1"/>
    <col min="8" max="8" width="11.81640625" style="3" bestFit="1" customWidth="1"/>
    <col min="9" max="9" width="15.36328125" style="3" customWidth="1"/>
    <col min="10" max="10" width="12.1796875" style="3" customWidth="1"/>
    <col min="11" max="11" width="15" style="3" customWidth="1"/>
    <col min="12" max="12" width="13.36328125" style="3"/>
    <col min="13" max="13" width="16.6328125" style="3" customWidth="1"/>
    <col min="14" max="14" width="12" style="3" customWidth="1"/>
    <col min="15" max="15" width="11" style="3" bestFit="1" customWidth="1"/>
    <col min="16" max="16" width="12.36328125" style="3" customWidth="1"/>
    <col min="17" max="17" width="14" style="3" bestFit="1" customWidth="1"/>
    <col min="18" max="18" width="17.453125" style="3" bestFit="1" customWidth="1"/>
    <col min="19" max="19" width="13.36328125" style="3"/>
    <col min="20" max="20" width="16.1796875" style="3" customWidth="1"/>
    <col min="21" max="21" width="14.453125" style="3" bestFit="1" customWidth="1"/>
    <col min="22" max="22" width="15.36328125" style="3" customWidth="1"/>
    <col min="23" max="16384" width="13.36328125" style="3"/>
  </cols>
  <sheetData>
    <row r="2" spans="2:22" ht="42" x14ac:dyDescent="0.35">
      <c r="B2" s="111" t="s">
        <v>0</v>
      </c>
      <c r="C2" s="111" t="s">
        <v>6</v>
      </c>
      <c r="D2" s="111" t="s">
        <v>7</v>
      </c>
      <c r="E2" s="111" t="s">
        <v>1</v>
      </c>
      <c r="F2" s="111" t="s">
        <v>2</v>
      </c>
      <c r="G2" s="111" t="s">
        <v>3</v>
      </c>
      <c r="H2" s="111" t="s">
        <v>4</v>
      </c>
      <c r="I2" s="111" t="s">
        <v>5</v>
      </c>
      <c r="J2" s="111" t="s">
        <v>22</v>
      </c>
      <c r="K2" s="111" t="s">
        <v>23</v>
      </c>
      <c r="L2" s="111" t="s">
        <v>64</v>
      </c>
      <c r="M2" s="112" t="s">
        <v>27</v>
      </c>
      <c r="N2" s="111" t="s">
        <v>28</v>
      </c>
      <c r="O2" s="111" t="s">
        <v>22</v>
      </c>
      <c r="P2" s="111" t="s">
        <v>23</v>
      </c>
      <c r="Q2" s="111" t="s">
        <v>64</v>
      </c>
      <c r="R2" s="111" t="s">
        <v>27</v>
      </c>
      <c r="S2" s="111" t="s">
        <v>60</v>
      </c>
      <c r="T2" s="111" t="s">
        <v>63</v>
      </c>
      <c r="U2" s="111" t="s">
        <v>67</v>
      </c>
      <c r="V2" s="111" t="s">
        <v>102</v>
      </c>
    </row>
    <row r="3" spans="2:22" x14ac:dyDescent="0.35">
      <c r="B3" s="1" t="s">
        <v>8</v>
      </c>
      <c r="C3" s="1" t="s">
        <v>9</v>
      </c>
      <c r="D3" s="1" t="s">
        <v>13</v>
      </c>
      <c r="E3" s="1" t="s">
        <v>10</v>
      </c>
      <c r="F3" s="1" t="s">
        <v>12</v>
      </c>
      <c r="G3" s="1" t="s">
        <v>74</v>
      </c>
      <c r="H3" s="1" t="s">
        <v>11</v>
      </c>
      <c r="I3" s="1" t="s">
        <v>29</v>
      </c>
      <c r="J3" s="1" t="s">
        <v>24</v>
      </c>
      <c r="K3" s="7" t="s">
        <v>25</v>
      </c>
      <c r="L3" s="7" t="s">
        <v>26</v>
      </c>
      <c r="M3" s="24"/>
    </row>
    <row r="4" spans="2:22" x14ac:dyDescent="0.35">
      <c r="B4" s="16" t="s">
        <v>44</v>
      </c>
      <c r="C4" s="22">
        <v>22</v>
      </c>
      <c r="D4" s="16">
        <f>C4</f>
        <v>22</v>
      </c>
      <c r="E4" s="23">
        <v>800</v>
      </c>
      <c r="F4" s="17">
        <f>E4</f>
        <v>800</v>
      </c>
      <c r="G4" s="16">
        <f>_xlfn.FLOOR.MATH((VLOOKUP(B4,$K$22:$L$34,2,FALSE)*E4),1)</f>
        <v>120</v>
      </c>
      <c r="H4" s="17">
        <f>F4+G4</f>
        <v>920</v>
      </c>
      <c r="I4" s="18">
        <f>E4/C4</f>
        <v>36.363636363636367</v>
      </c>
      <c r="J4" s="4">
        <f>C4*$F$17</f>
        <v>1760</v>
      </c>
      <c r="K4" s="4">
        <f>J4+$G$23</f>
        <v>2060</v>
      </c>
      <c r="L4" s="10">
        <f>K4-H4</f>
        <v>1140</v>
      </c>
      <c r="M4" s="25">
        <f t="shared" ref="M4:M15" si="0">IF(L4&gt;0,L4*$G$24,ABS(L4*$G$25))</f>
        <v>79800</v>
      </c>
      <c r="N4" s="19">
        <f>IF(L4&gt;0,,ABS(L4/D4))</f>
        <v>0</v>
      </c>
      <c r="O4" s="6">
        <f>_xlfn.FLOOR.MATH(C4*$H$17,1)</f>
        <v>1848</v>
      </c>
      <c r="P4" s="6">
        <f>O4+$G$23</f>
        <v>2148</v>
      </c>
      <c r="Q4" s="10">
        <f>P4-H4</f>
        <v>1228</v>
      </c>
      <c r="R4" s="8">
        <f>IF(Q4&gt;0,Q4*$G$24,ABS(Q4*$G$25))</f>
        <v>85960</v>
      </c>
      <c r="S4" s="20" cm="1">
        <f t="array" ref="S4">_xlfn.IFS(O4&lt;$H$38,O4*$G$27,AND(O4&gt;=$H$38,O4&lt;=$I$38),O4*$G$27*(1-$G$38),O4&gt;$I$38,O4*$G$27*(1-$G$39))</f>
        <v>443520</v>
      </c>
      <c r="T4" s="20">
        <f t="shared" ref="T4:T15" si="1">IF(Q4&lt;$G$43,,$G$42)</f>
        <v>0</v>
      </c>
      <c r="U4" s="20">
        <f t="shared" ref="U4:U15" si="2">C4*$G$48*$G$47*$G$46*VLOOKUP(B4,$K$23:$M$34,3,FALSE)</f>
        <v>35200</v>
      </c>
      <c r="V4" s="8">
        <f>SUM(R4:U4)</f>
        <v>564680</v>
      </c>
    </row>
    <row r="5" spans="2:22" x14ac:dyDescent="0.35">
      <c r="B5" s="13" t="s">
        <v>45</v>
      </c>
      <c r="C5" s="22">
        <v>10</v>
      </c>
      <c r="D5" s="16">
        <f>D4+C5</f>
        <v>32</v>
      </c>
      <c r="E5" s="23">
        <v>700</v>
      </c>
      <c r="F5" s="17">
        <f>F4+E5</f>
        <v>1500</v>
      </c>
      <c r="G5" s="16">
        <f t="shared" ref="G5:G15" si="3">_xlfn.FLOOR.MATH((VLOOKUP(B5,$K$22:$L$34,2,FALSE)*E5),1)</f>
        <v>105</v>
      </c>
      <c r="H5" s="17">
        <f t="shared" ref="H5:H15" si="4">F5+G5</f>
        <v>1605</v>
      </c>
      <c r="I5" s="18">
        <f t="shared" ref="I5:I15" si="5">E5/C5</f>
        <v>70</v>
      </c>
      <c r="J5" s="4">
        <f t="shared" ref="J5:J15" si="6">C5*$F$17</f>
        <v>800</v>
      </c>
      <c r="K5" s="4">
        <f>J5+K4</f>
        <v>2860</v>
      </c>
      <c r="L5" s="10">
        <f t="shared" ref="L5:L15" si="7">K5-H5</f>
        <v>1255</v>
      </c>
      <c r="M5" s="25">
        <f t="shared" si="0"/>
        <v>87850</v>
      </c>
      <c r="N5" s="19">
        <f t="shared" ref="N4:N15" si="8">IF(L5&gt;0,,ABS(L5/D5))</f>
        <v>0</v>
      </c>
      <c r="O5" s="6">
        <f t="shared" ref="O5:O15" si="9">_xlfn.FLOOR.MATH(C5*$H$17,1)</f>
        <v>840</v>
      </c>
      <c r="P5" s="6">
        <f>P4+O5</f>
        <v>2988</v>
      </c>
      <c r="Q5" s="10">
        <f t="shared" ref="Q4:Q15" si="10">P5-H5</f>
        <v>1383</v>
      </c>
      <c r="R5" s="8">
        <f t="shared" ref="R4:R15" si="11">IF(Q5&gt;0,Q5*$G$24,ABS(Q5*$G$25))</f>
        <v>96810</v>
      </c>
      <c r="S5" s="20" cm="1">
        <f t="array" ref="S5">_xlfn.IFS(O5&lt;$H$38,O5*$G$27,AND(O5&gt;=$H$38,O5&lt;=$I$38),O5*$G$27*(1-$G$38),O5&gt;$I$38,O5*$G$27*(1-$G$39))</f>
        <v>252000</v>
      </c>
      <c r="T5" s="20">
        <f t="shared" si="1"/>
        <v>0</v>
      </c>
      <c r="U5" s="20">
        <f t="shared" si="2"/>
        <v>16000</v>
      </c>
      <c r="V5" s="8">
        <f t="shared" ref="V5:V15" si="12">SUM(R5:U5)</f>
        <v>364810</v>
      </c>
    </row>
    <row r="6" spans="2:22" x14ac:dyDescent="0.35">
      <c r="B6" s="16" t="s">
        <v>46</v>
      </c>
      <c r="C6" s="22">
        <v>23</v>
      </c>
      <c r="D6" s="16">
        <f t="shared" ref="D6:D15" si="13">D5+C6</f>
        <v>55</v>
      </c>
      <c r="E6" s="23">
        <v>1200</v>
      </c>
      <c r="F6" s="17">
        <f t="shared" ref="F6:F15" si="14">F5+E6</f>
        <v>2700</v>
      </c>
      <c r="G6" s="16">
        <f t="shared" si="3"/>
        <v>210</v>
      </c>
      <c r="H6" s="17">
        <f t="shared" si="4"/>
        <v>2910</v>
      </c>
      <c r="I6" s="18">
        <f t="shared" si="5"/>
        <v>52.173913043478258</v>
      </c>
      <c r="J6" s="4">
        <f t="shared" si="6"/>
        <v>1840</v>
      </c>
      <c r="K6" s="4">
        <f t="shared" ref="K6:K15" si="15">J6+K5</f>
        <v>4700</v>
      </c>
      <c r="L6" s="10">
        <f t="shared" si="7"/>
        <v>1790</v>
      </c>
      <c r="M6" s="25">
        <f t="shared" si="0"/>
        <v>125300</v>
      </c>
      <c r="N6" s="19">
        <f t="shared" si="8"/>
        <v>0</v>
      </c>
      <c r="O6" s="6">
        <f t="shared" si="9"/>
        <v>1932</v>
      </c>
      <c r="P6" s="6">
        <f t="shared" ref="P6:P15" si="16">P5+O6</f>
        <v>4920</v>
      </c>
      <c r="Q6" s="10">
        <f t="shared" si="10"/>
        <v>2010</v>
      </c>
      <c r="R6" s="8">
        <f t="shared" si="11"/>
        <v>140700</v>
      </c>
      <c r="S6" s="20" cm="1">
        <f t="array" ref="S6">_xlfn.IFS(O6&lt;$H$38,O6*$G$27,AND(O6&gt;=$H$38,O6&lt;=$I$38),O6*$G$27*(1-$G$38),O6&gt;$I$38,O6*$G$27*(1-$G$39))</f>
        <v>463680</v>
      </c>
      <c r="T6" s="20">
        <f t="shared" si="1"/>
        <v>10000</v>
      </c>
      <c r="U6" s="20">
        <f t="shared" si="2"/>
        <v>36800</v>
      </c>
      <c r="V6" s="8">
        <f t="shared" si="12"/>
        <v>651180</v>
      </c>
    </row>
    <row r="7" spans="2:22" x14ac:dyDescent="0.35">
      <c r="B7" s="13" t="s">
        <v>47</v>
      </c>
      <c r="C7" s="22">
        <v>19</v>
      </c>
      <c r="D7" s="16">
        <f t="shared" si="13"/>
        <v>74</v>
      </c>
      <c r="E7" s="23">
        <v>1600</v>
      </c>
      <c r="F7" s="17">
        <f t="shared" si="14"/>
        <v>4300</v>
      </c>
      <c r="G7" s="16">
        <f t="shared" si="3"/>
        <v>280</v>
      </c>
      <c r="H7" s="17">
        <f t="shared" si="4"/>
        <v>4580</v>
      </c>
      <c r="I7" s="18">
        <f t="shared" si="5"/>
        <v>84.21052631578948</v>
      </c>
      <c r="J7" s="4">
        <f t="shared" si="6"/>
        <v>1520</v>
      </c>
      <c r="K7" s="4">
        <f t="shared" si="15"/>
        <v>6220</v>
      </c>
      <c r="L7" s="10">
        <f t="shared" si="7"/>
        <v>1640</v>
      </c>
      <c r="M7" s="25">
        <f t="shared" si="0"/>
        <v>114800</v>
      </c>
      <c r="N7" s="19">
        <f t="shared" si="8"/>
        <v>0</v>
      </c>
      <c r="O7" s="6">
        <f t="shared" si="9"/>
        <v>1596</v>
      </c>
      <c r="P7" s="6">
        <f t="shared" si="16"/>
        <v>6516</v>
      </c>
      <c r="Q7" s="10">
        <f t="shared" si="10"/>
        <v>1936</v>
      </c>
      <c r="R7" s="8">
        <f t="shared" si="11"/>
        <v>135520</v>
      </c>
      <c r="S7" s="20" cm="1">
        <f t="array" ref="S7">_xlfn.IFS(O7&lt;$H$38,O7*$G$27,AND(O7&gt;=$H$38,O7&lt;=$I$38),O7*$G$27*(1-$G$38),O7&gt;$I$38,O7*$G$27*(1-$G$39))</f>
        <v>406980</v>
      </c>
      <c r="T7" s="20">
        <f t="shared" si="1"/>
        <v>10000</v>
      </c>
      <c r="U7" s="20">
        <f t="shared" si="2"/>
        <v>45600</v>
      </c>
      <c r="V7" s="8">
        <f t="shared" si="12"/>
        <v>598100</v>
      </c>
    </row>
    <row r="8" spans="2:22" x14ac:dyDescent="0.35">
      <c r="B8" s="16" t="s">
        <v>48</v>
      </c>
      <c r="C8" s="22">
        <v>22</v>
      </c>
      <c r="D8" s="16">
        <f t="shared" si="13"/>
        <v>96</v>
      </c>
      <c r="E8" s="23">
        <v>2200</v>
      </c>
      <c r="F8" s="17">
        <f t="shared" si="14"/>
        <v>6500</v>
      </c>
      <c r="G8" s="16">
        <f t="shared" si="3"/>
        <v>550</v>
      </c>
      <c r="H8" s="17">
        <f t="shared" si="4"/>
        <v>7050</v>
      </c>
      <c r="I8" s="18">
        <f t="shared" si="5"/>
        <v>100</v>
      </c>
      <c r="J8" s="4">
        <f t="shared" si="6"/>
        <v>1760</v>
      </c>
      <c r="K8" s="4">
        <f t="shared" si="15"/>
        <v>7980</v>
      </c>
      <c r="L8" s="10">
        <f t="shared" si="7"/>
        <v>930</v>
      </c>
      <c r="M8" s="25">
        <f t="shared" si="0"/>
        <v>65100</v>
      </c>
      <c r="N8" s="19">
        <f t="shared" si="8"/>
        <v>0</v>
      </c>
      <c r="O8" s="6">
        <f t="shared" si="9"/>
        <v>1848</v>
      </c>
      <c r="P8" s="6">
        <f t="shared" si="16"/>
        <v>8364</v>
      </c>
      <c r="Q8" s="10">
        <f t="shared" si="10"/>
        <v>1314</v>
      </c>
      <c r="R8" s="8">
        <f t="shared" si="11"/>
        <v>91980</v>
      </c>
      <c r="S8" s="20" cm="1">
        <f t="array" ref="S8">_xlfn.IFS(O8&lt;$H$38,O8*$G$27,AND(O8&gt;=$H$38,O8&lt;=$I$38),O8*$G$27*(1-$G$38),O8&gt;$I$38,O8*$G$27*(1-$G$39))</f>
        <v>443520</v>
      </c>
      <c r="T8" s="20">
        <f t="shared" si="1"/>
        <v>0</v>
      </c>
      <c r="U8" s="20">
        <f t="shared" si="2"/>
        <v>35200</v>
      </c>
      <c r="V8" s="8">
        <f t="shared" si="12"/>
        <v>570700</v>
      </c>
    </row>
    <row r="9" spans="2:22" x14ac:dyDescent="0.35">
      <c r="B9" s="13" t="s">
        <v>49</v>
      </c>
      <c r="C9" s="22">
        <v>22</v>
      </c>
      <c r="D9" s="16">
        <f t="shared" si="13"/>
        <v>118</v>
      </c>
      <c r="E9" s="23">
        <v>2800</v>
      </c>
      <c r="F9" s="17">
        <f t="shared" si="14"/>
        <v>9300</v>
      </c>
      <c r="G9" s="16">
        <f t="shared" si="3"/>
        <v>980</v>
      </c>
      <c r="H9" s="17">
        <f t="shared" si="4"/>
        <v>10280</v>
      </c>
      <c r="I9" s="18">
        <f t="shared" si="5"/>
        <v>127.27272727272727</v>
      </c>
      <c r="J9" s="4">
        <f t="shared" si="6"/>
        <v>1760</v>
      </c>
      <c r="K9" s="4">
        <f t="shared" si="15"/>
        <v>9740</v>
      </c>
      <c r="L9" s="10">
        <f t="shared" si="7"/>
        <v>-540</v>
      </c>
      <c r="M9" s="25">
        <f t="shared" si="0"/>
        <v>378000</v>
      </c>
      <c r="N9" s="19">
        <f t="shared" si="8"/>
        <v>4.5762711864406782</v>
      </c>
      <c r="O9" s="6">
        <f t="shared" si="9"/>
        <v>1848</v>
      </c>
      <c r="P9" s="6">
        <f t="shared" si="16"/>
        <v>10212</v>
      </c>
      <c r="Q9" s="10">
        <f t="shared" si="10"/>
        <v>-68</v>
      </c>
      <c r="R9" s="8">
        <f t="shared" si="11"/>
        <v>47600</v>
      </c>
      <c r="S9" s="20" cm="1">
        <f t="array" ref="S9">_xlfn.IFS(O9&lt;$H$38,O9*$G$27,AND(O9&gt;=$H$38,O9&lt;=$I$38),O9*$G$27*(1-$G$38),O9&gt;$I$38,O9*$G$27*(1-$G$39))</f>
        <v>443520</v>
      </c>
      <c r="T9" s="20">
        <f t="shared" si="1"/>
        <v>0</v>
      </c>
      <c r="U9" s="20">
        <f t="shared" si="2"/>
        <v>35200</v>
      </c>
      <c r="V9" s="8">
        <f t="shared" si="12"/>
        <v>526320</v>
      </c>
    </row>
    <row r="10" spans="2:22" x14ac:dyDescent="0.35">
      <c r="B10" s="16" t="s">
        <v>50</v>
      </c>
      <c r="C10" s="22">
        <v>20</v>
      </c>
      <c r="D10" s="16">
        <f t="shared" si="13"/>
        <v>138</v>
      </c>
      <c r="E10" s="23">
        <v>2700</v>
      </c>
      <c r="F10" s="17">
        <f t="shared" si="14"/>
        <v>12000</v>
      </c>
      <c r="G10" s="16">
        <f t="shared" si="3"/>
        <v>810</v>
      </c>
      <c r="H10" s="17">
        <f t="shared" si="4"/>
        <v>12810</v>
      </c>
      <c r="I10" s="18">
        <f t="shared" si="5"/>
        <v>135</v>
      </c>
      <c r="J10" s="4">
        <f t="shared" si="6"/>
        <v>1600</v>
      </c>
      <c r="K10" s="4">
        <f t="shared" si="15"/>
        <v>11340</v>
      </c>
      <c r="L10" s="10">
        <f t="shared" si="7"/>
        <v>-1470</v>
      </c>
      <c r="M10" s="25">
        <f t="shared" si="0"/>
        <v>1029000</v>
      </c>
      <c r="N10" s="19">
        <f t="shared" si="8"/>
        <v>10.652173913043478</v>
      </c>
      <c r="O10" s="6">
        <f t="shared" si="9"/>
        <v>1680</v>
      </c>
      <c r="P10" s="6">
        <f t="shared" si="16"/>
        <v>11892</v>
      </c>
      <c r="Q10" s="10">
        <f t="shared" si="10"/>
        <v>-918</v>
      </c>
      <c r="R10" s="8">
        <f t="shared" si="11"/>
        <v>642600</v>
      </c>
      <c r="S10" s="20" cm="1">
        <f t="array" ref="S10">_xlfn.IFS(O10&lt;$H$38,O10*$G$27,AND(O10&gt;=$H$38,O10&lt;=$I$38),O10*$G$27*(1-$G$38),O10&gt;$I$38,O10*$G$27*(1-$G$39))</f>
        <v>428400</v>
      </c>
      <c r="T10" s="20">
        <f t="shared" si="1"/>
        <v>0</v>
      </c>
      <c r="U10" s="20">
        <f t="shared" si="2"/>
        <v>32000</v>
      </c>
      <c r="V10" s="8">
        <f t="shared" si="12"/>
        <v>1103000</v>
      </c>
    </row>
    <row r="11" spans="2:22" x14ac:dyDescent="0.35">
      <c r="B11" s="13" t="s">
        <v>51</v>
      </c>
      <c r="C11" s="22">
        <v>23</v>
      </c>
      <c r="D11" s="16">
        <f t="shared" si="13"/>
        <v>161</v>
      </c>
      <c r="E11" s="23">
        <v>1300</v>
      </c>
      <c r="F11" s="17">
        <f t="shared" si="14"/>
        <v>13300</v>
      </c>
      <c r="G11" s="16">
        <f t="shared" si="3"/>
        <v>390</v>
      </c>
      <c r="H11" s="17">
        <f t="shared" si="4"/>
        <v>13690</v>
      </c>
      <c r="I11" s="18">
        <f t="shared" si="5"/>
        <v>56.521739130434781</v>
      </c>
      <c r="J11" s="4">
        <f t="shared" si="6"/>
        <v>1840</v>
      </c>
      <c r="K11" s="4">
        <f t="shared" si="15"/>
        <v>13180</v>
      </c>
      <c r="L11" s="10">
        <f t="shared" si="7"/>
        <v>-510</v>
      </c>
      <c r="M11" s="25">
        <f t="shared" si="0"/>
        <v>357000</v>
      </c>
      <c r="N11" s="19">
        <f t="shared" si="8"/>
        <v>3.1677018633540373</v>
      </c>
      <c r="O11" s="6">
        <f t="shared" si="9"/>
        <v>1932</v>
      </c>
      <c r="P11" s="6">
        <f t="shared" si="16"/>
        <v>13824</v>
      </c>
      <c r="Q11" s="10">
        <f t="shared" si="10"/>
        <v>134</v>
      </c>
      <c r="R11" s="8">
        <f t="shared" si="11"/>
        <v>9380</v>
      </c>
      <c r="S11" s="20" cm="1">
        <f t="array" ref="S11">_xlfn.IFS(O11&lt;$H$38,O11*$G$27,AND(O11&gt;=$H$38,O11&lt;=$I$38),O11*$G$27*(1-$G$38),O11&gt;$I$38,O11*$G$27*(1-$G$39))</f>
        <v>463680</v>
      </c>
      <c r="T11" s="20">
        <f t="shared" si="1"/>
        <v>0</v>
      </c>
      <c r="U11" s="20">
        <f t="shared" si="2"/>
        <v>55200</v>
      </c>
      <c r="V11" s="8">
        <f t="shared" si="12"/>
        <v>528260</v>
      </c>
    </row>
    <row r="12" spans="2:22" x14ac:dyDescent="0.35">
      <c r="B12" s="16" t="s">
        <v>52</v>
      </c>
      <c r="C12" s="22">
        <v>21</v>
      </c>
      <c r="D12" s="16">
        <f t="shared" si="13"/>
        <v>182</v>
      </c>
      <c r="E12" s="23">
        <v>800</v>
      </c>
      <c r="F12" s="17">
        <f t="shared" si="14"/>
        <v>14100</v>
      </c>
      <c r="G12" s="16">
        <f t="shared" si="3"/>
        <v>160</v>
      </c>
      <c r="H12" s="17">
        <f t="shared" si="4"/>
        <v>14260</v>
      </c>
      <c r="I12" s="18">
        <f t="shared" si="5"/>
        <v>38.095238095238095</v>
      </c>
      <c r="J12" s="4">
        <f t="shared" si="6"/>
        <v>1680</v>
      </c>
      <c r="K12" s="4">
        <f t="shared" si="15"/>
        <v>14860</v>
      </c>
      <c r="L12" s="10">
        <f t="shared" si="7"/>
        <v>600</v>
      </c>
      <c r="M12" s="25">
        <f t="shared" si="0"/>
        <v>42000</v>
      </c>
      <c r="N12" s="19">
        <f t="shared" si="8"/>
        <v>0</v>
      </c>
      <c r="O12" s="6">
        <f t="shared" si="9"/>
        <v>1764</v>
      </c>
      <c r="P12" s="6">
        <f t="shared" si="16"/>
        <v>15588</v>
      </c>
      <c r="Q12" s="10">
        <f t="shared" si="10"/>
        <v>1328</v>
      </c>
      <c r="R12" s="8">
        <f t="shared" si="11"/>
        <v>92960</v>
      </c>
      <c r="S12" s="20" cm="1">
        <f t="array" ref="S12">_xlfn.IFS(O12&lt;$H$38,O12*$G$27,AND(O12&gt;=$H$38,O12&lt;=$I$38),O12*$G$27*(1-$G$38),O12&gt;$I$38,O12*$G$27*(1-$G$39))</f>
        <v>423360</v>
      </c>
      <c r="T12" s="20">
        <f t="shared" si="1"/>
        <v>0</v>
      </c>
      <c r="U12" s="20">
        <f t="shared" si="2"/>
        <v>33600</v>
      </c>
      <c r="V12" s="8">
        <f t="shared" si="12"/>
        <v>549920</v>
      </c>
    </row>
    <row r="13" spans="2:22" x14ac:dyDescent="0.35">
      <c r="B13" s="13" t="s">
        <v>53</v>
      </c>
      <c r="C13" s="22">
        <v>22</v>
      </c>
      <c r="D13" s="16">
        <f t="shared" si="13"/>
        <v>204</v>
      </c>
      <c r="E13" s="23">
        <v>1800</v>
      </c>
      <c r="F13" s="17">
        <f t="shared" si="14"/>
        <v>15900</v>
      </c>
      <c r="G13" s="16">
        <f t="shared" si="3"/>
        <v>450</v>
      </c>
      <c r="H13" s="17">
        <f t="shared" si="4"/>
        <v>16350</v>
      </c>
      <c r="I13" s="18">
        <f t="shared" si="5"/>
        <v>81.818181818181813</v>
      </c>
      <c r="J13" s="4">
        <f t="shared" si="6"/>
        <v>1760</v>
      </c>
      <c r="K13" s="4">
        <f t="shared" si="15"/>
        <v>16620</v>
      </c>
      <c r="L13" s="10">
        <f t="shared" si="7"/>
        <v>270</v>
      </c>
      <c r="M13" s="25">
        <f t="shared" si="0"/>
        <v>18900</v>
      </c>
      <c r="N13" s="19">
        <f t="shared" si="8"/>
        <v>0</v>
      </c>
      <c r="O13" s="6">
        <f t="shared" si="9"/>
        <v>1848</v>
      </c>
      <c r="P13" s="6">
        <f t="shared" si="16"/>
        <v>17436</v>
      </c>
      <c r="Q13" s="10">
        <f t="shared" si="10"/>
        <v>1086</v>
      </c>
      <c r="R13" s="8">
        <f t="shared" si="11"/>
        <v>76020</v>
      </c>
      <c r="S13" s="20" cm="1">
        <f t="array" ref="S13">_xlfn.IFS(O13&lt;$H$38,O13*$G$27,AND(O13&gt;=$H$38,O13&lt;=$I$38),O13*$G$27*(1-$G$38),O13&gt;$I$38,O13*$G$27*(1-$G$39))</f>
        <v>443520</v>
      </c>
      <c r="T13" s="20">
        <f t="shared" si="1"/>
        <v>0</v>
      </c>
      <c r="U13" s="20">
        <f t="shared" si="2"/>
        <v>35200</v>
      </c>
      <c r="V13" s="8">
        <f t="shared" si="12"/>
        <v>554740</v>
      </c>
    </row>
    <row r="14" spans="2:22" x14ac:dyDescent="0.35">
      <c r="B14" s="16" t="s">
        <v>54</v>
      </c>
      <c r="C14" s="22">
        <v>22</v>
      </c>
      <c r="D14" s="16">
        <f t="shared" si="13"/>
        <v>226</v>
      </c>
      <c r="E14" s="23">
        <v>2500</v>
      </c>
      <c r="F14" s="17">
        <f t="shared" si="14"/>
        <v>18400</v>
      </c>
      <c r="G14" s="16">
        <f t="shared" si="3"/>
        <v>625</v>
      </c>
      <c r="H14" s="17">
        <f t="shared" si="4"/>
        <v>19025</v>
      </c>
      <c r="I14" s="18">
        <f t="shared" si="5"/>
        <v>113.63636363636364</v>
      </c>
      <c r="J14" s="4">
        <f t="shared" si="6"/>
        <v>1760</v>
      </c>
      <c r="K14" s="4">
        <f t="shared" si="15"/>
        <v>18380</v>
      </c>
      <c r="L14" s="10">
        <f t="shared" si="7"/>
        <v>-645</v>
      </c>
      <c r="M14" s="25">
        <f t="shared" si="0"/>
        <v>451500</v>
      </c>
      <c r="N14" s="19">
        <f t="shared" si="8"/>
        <v>2.8539823008849559</v>
      </c>
      <c r="O14" s="6">
        <f t="shared" si="9"/>
        <v>1848</v>
      </c>
      <c r="P14" s="6">
        <f t="shared" si="16"/>
        <v>19284</v>
      </c>
      <c r="Q14" s="10">
        <f t="shared" si="10"/>
        <v>259</v>
      </c>
      <c r="R14" s="8">
        <f t="shared" si="11"/>
        <v>18130</v>
      </c>
      <c r="S14" s="20" cm="1">
        <f t="array" ref="S14">_xlfn.IFS(O14&lt;$H$38,O14*$G$27,AND(O14&gt;=$H$38,O14&lt;=$I$38),O14*$G$27*(1-$G$38),O14&gt;$I$38,O14*$G$27*(1-$G$39))</f>
        <v>443520</v>
      </c>
      <c r="T14" s="20">
        <f t="shared" si="1"/>
        <v>0</v>
      </c>
      <c r="U14" s="20">
        <f t="shared" si="2"/>
        <v>35200</v>
      </c>
      <c r="V14" s="8">
        <f t="shared" si="12"/>
        <v>496850</v>
      </c>
    </row>
    <row r="15" spans="2:22" x14ac:dyDescent="0.35">
      <c r="B15" s="13" t="s">
        <v>55</v>
      </c>
      <c r="C15" s="22">
        <v>18</v>
      </c>
      <c r="D15" s="16">
        <f t="shared" si="13"/>
        <v>244</v>
      </c>
      <c r="E15" s="23">
        <v>900</v>
      </c>
      <c r="F15" s="17">
        <f t="shared" si="14"/>
        <v>19300</v>
      </c>
      <c r="G15" s="16">
        <f t="shared" si="3"/>
        <v>135</v>
      </c>
      <c r="H15" s="17">
        <f t="shared" si="4"/>
        <v>19435</v>
      </c>
      <c r="I15" s="18">
        <f t="shared" si="5"/>
        <v>50</v>
      </c>
      <c r="J15" s="4">
        <f t="shared" si="6"/>
        <v>1440</v>
      </c>
      <c r="K15" s="4">
        <f t="shared" si="15"/>
        <v>19820</v>
      </c>
      <c r="L15" s="10">
        <f t="shared" si="7"/>
        <v>385</v>
      </c>
      <c r="M15" s="25">
        <f t="shared" si="0"/>
        <v>26950</v>
      </c>
      <c r="N15" s="19">
        <f t="shared" si="8"/>
        <v>0</v>
      </c>
      <c r="O15" s="6">
        <f t="shared" si="9"/>
        <v>1512</v>
      </c>
      <c r="P15" s="6">
        <f t="shared" si="16"/>
        <v>20796</v>
      </c>
      <c r="Q15" s="10">
        <f t="shared" si="10"/>
        <v>1361</v>
      </c>
      <c r="R15" s="8">
        <f t="shared" si="11"/>
        <v>95270</v>
      </c>
      <c r="S15" s="20" cm="1">
        <f t="array" ref="S15">_xlfn.IFS(O15&lt;$H$38,O15*$G$27,AND(O15&gt;=$H$38,O15&lt;=$I$38),O15*$G$27*(1-$G$38),O15&gt;$I$38,O15*$G$27*(1-$G$39))</f>
        <v>385560</v>
      </c>
      <c r="T15" s="20">
        <f t="shared" si="1"/>
        <v>0</v>
      </c>
      <c r="U15" s="20">
        <f t="shared" si="2"/>
        <v>57600</v>
      </c>
      <c r="V15" s="8">
        <f t="shared" si="12"/>
        <v>538430</v>
      </c>
    </row>
    <row r="17" spans="2:20" x14ac:dyDescent="0.35">
      <c r="B17" s="149" t="s">
        <v>21</v>
      </c>
      <c r="C17" s="149"/>
      <c r="D17" s="149"/>
      <c r="F17" s="6">
        <f>IF(($H$15/$D$15)&lt;$G$22,_xlfn.CEILING.MATH(($H$15/$D$15),1),$G$22)</f>
        <v>80</v>
      </c>
      <c r="G17" s="6">
        <f>($H$15-$G$23)/$D$15</f>
        <v>78.422131147540981</v>
      </c>
      <c r="H17" s="21">
        <f>IF($F$17+$N$17&lt;=$G$22,_xlfn.CEILING.MATH(($F$17+$N$17),1),$G$22)</f>
        <v>84.009393822517083</v>
      </c>
      <c r="M17" s="9"/>
      <c r="N17" s="184">
        <f>MAX(N4:N15)</f>
        <v>10.652173913043478</v>
      </c>
      <c r="O17" s="123"/>
      <c r="Q17" s="124">
        <f>SUMIF(Q4:Q15,"&lt;0")</f>
        <v>-986</v>
      </c>
      <c r="S17" s="26" t="s">
        <v>75</v>
      </c>
      <c r="T17" s="27">
        <f>SUM(R4:U15)</f>
        <v>7046990</v>
      </c>
    </row>
    <row r="18" spans="2:20" x14ac:dyDescent="0.35">
      <c r="F18" s="35">
        <f>F17+N17</f>
        <v>90.652173913043484</v>
      </c>
      <c r="S18" s="29" t="s">
        <v>58</v>
      </c>
      <c r="T18" s="31">
        <f>IF($Q$15&gt;=0,($P$15-$Q$15)*$G$28,$P$15*$G$28)</f>
        <v>15548000</v>
      </c>
    </row>
    <row r="19" spans="2:20" x14ac:dyDescent="0.35">
      <c r="O19" s="6"/>
      <c r="P19" s="6"/>
      <c r="S19" s="30" t="s">
        <v>76</v>
      </c>
      <c r="T19" s="32">
        <f>$T$18-$T$17</f>
        <v>8501010</v>
      </c>
    </row>
    <row r="21" spans="2:20" ht="14.5" thickBot="1" x14ac:dyDescent="0.4"/>
    <row r="22" spans="2:20" ht="14.5" thickBot="1" x14ac:dyDescent="0.4">
      <c r="B22" s="157" t="s">
        <v>15</v>
      </c>
      <c r="C22" s="158"/>
      <c r="D22" s="158"/>
      <c r="E22" s="158"/>
      <c r="F22" s="158"/>
      <c r="G22" s="48">
        <f>($G$48*$G$46)/$G$35</f>
        <v>84.009393822517083</v>
      </c>
      <c r="K22" s="171" t="s">
        <v>3</v>
      </c>
      <c r="L22" s="172"/>
      <c r="M22" s="52" t="s">
        <v>78</v>
      </c>
    </row>
    <row r="23" spans="2:20" x14ac:dyDescent="0.35">
      <c r="B23" s="155" t="s">
        <v>14</v>
      </c>
      <c r="C23" s="156"/>
      <c r="D23" s="156"/>
      <c r="E23" s="156"/>
      <c r="F23" s="156"/>
      <c r="G23" s="36">
        <v>300</v>
      </c>
      <c r="K23" s="42" t="s">
        <v>44</v>
      </c>
      <c r="L23" s="49">
        <v>0.15</v>
      </c>
      <c r="M23" s="53">
        <v>1</v>
      </c>
    </row>
    <row r="24" spans="2:20" x14ac:dyDescent="0.35">
      <c r="B24" s="155" t="s">
        <v>17</v>
      </c>
      <c r="C24" s="156"/>
      <c r="D24" s="156"/>
      <c r="E24" s="156"/>
      <c r="F24" s="156"/>
      <c r="G24" s="36">
        <v>70</v>
      </c>
      <c r="K24" s="44" t="s">
        <v>45</v>
      </c>
      <c r="L24" s="50">
        <v>0.15</v>
      </c>
      <c r="M24" s="54">
        <v>1</v>
      </c>
    </row>
    <row r="25" spans="2:20" x14ac:dyDescent="0.35">
      <c r="B25" s="155" t="s">
        <v>18</v>
      </c>
      <c r="C25" s="156"/>
      <c r="D25" s="156"/>
      <c r="E25" s="156"/>
      <c r="F25" s="156"/>
      <c r="G25" s="36">
        <v>700</v>
      </c>
      <c r="K25" s="44" t="s">
        <v>46</v>
      </c>
      <c r="L25" s="50">
        <v>0.17499999999999999</v>
      </c>
      <c r="M25" s="54">
        <v>1</v>
      </c>
    </row>
    <row r="26" spans="2:20" x14ac:dyDescent="0.35">
      <c r="B26" s="155" t="s">
        <v>19</v>
      </c>
      <c r="C26" s="156"/>
      <c r="D26" s="156"/>
      <c r="E26" s="156"/>
      <c r="F26" s="156"/>
      <c r="G26" s="36">
        <v>400</v>
      </c>
      <c r="K26" s="44" t="s">
        <v>47</v>
      </c>
      <c r="L26" s="50">
        <v>0.17499999999999999</v>
      </c>
      <c r="M26" s="54">
        <v>1.5</v>
      </c>
    </row>
    <row r="27" spans="2:20" x14ac:dyDescent="0.35">
      <c r="B27" s="155" t="s">
        <v>68</v>
      </c>
      <c r="C27" s="156"/>
      <c r="D27" s="156"/>
      <c r="E27" s="156"/>
      <c r="F27" s="156"/>
      <c r="G27" s="36">
        <v>300</v>
      </c>
      <c r="K27" s="44" t="s">
        <v>48</v>
      </c>
      <c r="L27" s="50">
        <v>0.25</v>
      </c>
      <c r="M27" s="54">
        <v>1</v>
      </c>
    </row>
    <row r="28" spans="2:20" ht="14.5" thickBot="1" x14ac:dyDescent="0.4">
      <c r="B28" s="153" t="s">
        <v>56</v>
      </c>
      <c r="C28" s="154"/>
      <c r="D28" s="154"/>
      <c r="E28" s="154"/>
      <c r="F28" s="154"/>
      <c r="G28" s="95">
        <v>800</v>
      </c>
      <c r="K28" s="44" t="s">
        <v>49</v>
      </c>
      <c r="L28" s="50">
        <v>0.35</v>
      </c>
      <c r="M28" s="54">
        <v>1</v>
      </c>
    </row>
    <row r="29" spans="2:20" ht="14.5" thickBot="1" x14ac:dyDescent="0.4">
      <c r="K29" s="44" t="s">
        <v>50</v>
      </c>
      <c r="L29" s="50">
        <v>0.3</v>
      </c>
      <c r="M29" s="54">
        <v>1</v>
      </c>
    </row>
    <row r="30" spans="2:20" ht="14.5" thickBot="1" x14ac:dyDescent="0.4">
      <c r="B30" s="162" t="s">
        <v>91</v>
      </c>
      <c r="C30" s="163"/>
      <c r="D30" s="163"/>
      <c r="E30" s="163"/>
      <c r="F30" s="163"/>
      <c r="G30" s="164"/>
      <c r="K30" s="44" t="s">
        <v>51</v>
      </c>
      <c r="L30" s="50">
        <v>0.3</v>
      </c>
      <c r="M30" s="54">
        <v>1.5</v>
      </c>
    </row>
    <row r="31" spans="2:20" x14ac:dyDescent="0.35">
      <c r="B31" s="157" t="s">
        <v>69</v>
      </c>
      <c r="C31" s="158"/>
      <c r="D31" s="158"/>
      <c r="E31" s="158"/>
      <c r="F31" s="158"/>
      <c r="G31" s="96">
        <v>0.08</v>
      </c>
      <c r="K31" s="44" t="s">
        <v>52</v>
      </c>
      <c r="L31" s="50">
        <v>0.2</v>
      </c>
      <c r="M31" s="54">
        <v>1</v>
      </c>
    </row>
    <row r="32" spans="2:20" x14ac:dyDescent="0.35">
      <c r="B32" s="155" t="s">
        <v>70</v>
      </c>
      <c r="C32" s="156"/>
      <c r="D32" s="156"/>
      <c r="E32" s="156"/>
      <c r="F32" s="156"/>
      <c r="G32" s="36">
        <v>4.4000000000000004</v>
      </c>
      <c r="K32" s="44" t="s">
        <v>53</v>
      </c>
      <c r="L32" s="50">
        <v>0.25</v>
      </c>
      <c r="M32" s="54">
        <v>1</v>
      </c>
    </row>
    <row r="33" spans="2:13" x14ac:dyDescent="0.35">
      <c r="B33" s="155" t="s">
        <v>72</v>
      </c>
      <c r="C33" s="156"/>
      <c r="D33" s="156"/>
      <c r="E33" s="156"/>
      <c r="F33" s="156"/>
      <c r="G33" s="36">
        <v>165</v>
      </c>
      <c r="K33" s="44" t="s">
        <v>54</v>
      </c>
      <c r="L33" s="50">
        <v>0.25</v>
      </c>
      <c r="M33" s="54">
        <v>1</v>
      </c>
    </row>
    <row r="34" spans="2:13" ht="14.5" thickBot="1" x14ac:dyDescent="0.4">
      <c r="B34" s="155" t="s">
        <v>71</v>
      </c>
      <c r="C34" s="156"/>
      <c r="D34" s="156"/>
      <c r="E34" s="156"/>
      <c r="F34" s="156"/>
      <c r="G34" s="37">
        <f>-(LN(1-$G$31)/LN(2))</f>
        <v>0.12029423371771177</v>
      </c>
      <c r="K34" s="46" t="s">
        <v>55</v>
      </c>
      <c r="L34" s="51">
        <v>0.15</v>
      </c>
      <c r="M34" s="55">
        <v>2</v>
      </c>
    </row>
    <row r="35" spans="2:13" ht="14.5" thickBot="1" x14ac:dyDescent="0.4">
      <c r="B35" s="153" t="s">
        <v>77</v>
      </c>
      <c r="C35" s="154"/>
      <c r="D35" s="154"/>
      <c r="E35" s="154"/>
      <c r="F35" s="154"/>
      <c r="G35" s="148">
        <f>$G$32*($G$33)^-$G$34</f>
        <v>2.3806861459151953</v>
      </c>
    </row>
    <row r="36" spans="2:13" ht="14.5" thickBot="1" x14ac:dyDescent="0.4"/>
    <row r="37" spans="2:13" ht="14.5" thickBot="1" x14ac:dyDescent="0.4">
      <c r="B37" s="165" t="s">
        <v>93</v>
      </c>
      <c r="C37" s="166"/>
      <c r="D37" s="166"/>
      <c r="E37" s="166"/>
      <c r="F37" s="166"/>
      <c r="G37" s="167"/>
    </row>
    <row r="38" spans="2:13" ht="14.5" thickBot="1" x14ac:dyDescent="0.4">
      <c r="B38" s="157" t="s">
        <v>103</v>
      </c>
      <c r="C38" s="158"/>
      <c r="D38" s="158"/>
      <c r="E38" s="158"/>
      <c r="F38" s="158"/>
      <c r="G38" s="97">
        <v>0.15</v>
      </c>
      <c r="H38" s="40">
        <v>1000</v>
      </c>
      <c r="I38" s="41">
        <v>1700</v>
      </c>
    </row>
    <row r="39" spans="2:13" ht="14.5" thickBot="1" x14ac:dyDescent="0.4">
      <c r="B39" s="153" t="s">
        <v>104</v>
      </c>
      <c r="C39" s="154"/>
      <c r="D39" s="154"/>
      <c r="E39" s="154"/>
      <c r="F39" s="154"/>
      <c r="G39" s="39">
        <v>0.2</v>
      </c>
    </row>
    <row r="40" spans="2:13" ht="14.5" thickBot="1" x14ac:dyDescent="0.4"/>
    <row r="41" spans="2:13" ht="14.5" thickBot="1" x14ac:dyDescent="0.4">
      <c r="B41" s="168" t="s">
        <v>90</v>
      </c>
      <c r="C41" s="169"/>
      <c r="D41" s="169"/>
      <c r="E41" s="169"/>
      <c r="F41" s="169"/>
      <c r="G41" s="170"/>
    </row>
    <row r="42" spans="2:13" x14ac:dyDescent="0.35">
      <c r="B42" s="157" t="s">
        <v>61</v>
      </c>
      <c r="C42" s="158"/>
      <c r="D42" s="158"/>
      <c r="E42" s="158"/>
      <c r="F42" s="158"/>
      <c r="G42" s="94">
        <v>10000</v>
      </c>
    </row>
    <row r="43" spans="2:13" ht="14.5" thickBot="1" x14ac:dyDescent="0.4">
      <c r="B43" s="153" t="s">
        <v>62</v>
      </c>
      <c r="C43" s="154"/>
      <c r="D43" s="154"/>
      <c r="E43" s="154"/>
      <c r="F43" s="154"/>
      <c r="G43" s="95">
        <v>1700</v>
      </c>
    </row>
    <row r="44" spans="2:13" ht="14.5" thickBot="1" x14ac:dyDescent="0.4"/>
    <row r="45" spans="2:13" ht="14.5" thickBot="1" x14ac:dyDescent="0.4">
      <c r="B45" s="173" t="s">
        <v>92</v>
      </c>
      <c r="C45" s="174"/>
      <c r="D45" s="174"/>
      <c r="E45" s="174"/>
      <c r="F45" s="174"/>
      <c r="G45" s="175"/>
    </row>
    <row r="46" spans="2:13" x14ac:dyDescent="0.35">
      <c r="B46" s="157" t="s">
        <v>73</v>
      </c>
      <c r="C46" s="158"/>
      <c r="D46" s="158"/>
      <c r="E46" s="158"/>
      <c r="F46" s="158"/>
      <c r="G46" s="94">
        <v>8</v>
      </c>
    </row>
    <row r="47" spans="2:13" x14ac:dyDescent="0.35">
      <c r="B47" s="155" t="s">
        <v>65</v>
      </c>
      <c r="C47" s="156"/>
      <c r="D47" s="156"/>
      <c r="E47" s="156"/>
      <c r="F47" s="156"/>
      <c r="G47" s="36">
        <v>8</v>
      </c>
    </row>
    <row r="48" spans="2:13" ht="14.5" thickBot="1" x14ac:dyDescent="0.4">
      <c r="B48" s="153" t="s">
        <v>66</v>
      </c>
      <c r="C48" s="154"/>
      <c r="D48" s="154"/>
      <c r="E48" s="154"/>
      <c r="F48" s="154"/>
      <c r="G48" s="95">
        <v>25</v>
      </c>
    </row>
  </sheetData>
  <mergeCells count="25">
    <mergeCell ref="B17:D17"/>
    <mergeCell ref="B26:F26"/>
    <mergeCell ref="B28:F28"/>
    <mergeCell ref="B42:F42"/>
    <mergeCell ref="B43:F43"/>
    <mergeCell ref="B27:F27"/>
    <mergeCell ref="B38:F38"/>
    <mergeCell ref="B35:F35"/>
    <mergeCell ref="B23:F23"/>
    <mergeCell ref="B24:F24"/>
    <mergeCell ref="B25:F25"/>
    <mergeCell ref="B34:F34"/>
    <mergeCell ref="B39:F39"/>
    <mergeCell ref="B37:G37"/>
    <mergeCell ref="B41:G41"/>
    <mergeCell ref="B46:F46"/>
    <mergeCell ref="B47:F47"/>
    <mergeCell ref="B48:F48"/>
    <mergeCell ref="B45:G45"/>
    <mergeCell ref="K22:L22"/>
    <mergeCell ref="B22:F22"/>
    <mergeCell ref="B31:F31"/>
    <mergeCell ref="B32:F32"/>
    <mergeCell ref="B33:F33"/>
    <mergeCell ref="B30:G30"/>
  </mergeCells>
  <phoneticPr fontId="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A53"/>
  <sheetViews>
    <sheetView topLeftCell="B15" zoomScale="55" zoomScaleNormal="55" workbookViewId="0">
      <selection activeCell="Q5" sqref="Q5"/>
    </sheetView>
  </sheetViews>
  <sheetFormatPr defaultColWidth="13.36328125" defaultRowHeight="14" x14ac:dyDescent="0.35"/>
  <cols>
    <col min="1" max="1" width="3.36328125" style="3" customWidth="1"/>
    <col min="2" max="2" width="8.453125" style="3" customWidth="1"/>
    <col min="3" max="4" width="13.36328125" style="3"/>
    <col min="5" max="5" width="9" style="3" customWidth="1"/>
    <col min="6" max="6" width="10.81640625" style="3" bestFit="1" customWidth="1"/>
    <col min="7" max="7" width="12.81640625" style="3" bestFit="1" customWidth="1"/>
    <col min="8" max="8" width="11.81640625" style="3" bestFit="1" customWidth="1"/>
    <col min="9" max="9" width="13.90625" style="3" customWidth="1"/>
    <col min="10" max="10" width="11.90625" style="3" customWidth="1"/>
    <col min="11" max="11" width="13.453125" style="3" customWidth="1"/>
    <col min="12" max="12" width="13.54296875" style="3" customWidth="1"/>
    <col min="13" max="13" width="18.08984375" style="3" customWidth="1"/>
    <col min="14" max="15" width="12.81640625" style="3" customWidth="1"/>
    <col min="16" max="16" width="13.453125" style="3" customWidth="1"/>
    <col min="17" max="17" width="14" style="3" customWidth="1"/>
    <col min="18" max="18" width="10.1796875" style="3" customWidth="1"/>
    <col min="19" max="19" width="16.90625" style="3" customWidth="1"/>
    <col min="20" max="20" width="10.453125" style="3" bestFit="1" customWidth="1"/>
    <col min="21" max="21" width="18.7265625" style="3" customWidth="1"/>
    <col min="22" max="22" width="13.36328125" style="3"/>
    <col min="23" max="23" width="16.6328125" style="3" customWidth="1"/>
    <col min="24" max="25" width="13.36328125" style="3"/>
    <col min="26" max="26" width="16.36328125" style="3" customWidth="1"/>
    <col min="27" max="27" width="19.6328125" style="3" customWidth="1"/>
    <col min="28" max="16384" width="13.36328125" style="3"/>
  </cols>
  <sheetData>
    <row r="2" spans="2:27" ht="56" x14ac:dyDescent="0.35">
      <c r="B2" s="111" t="s">
        <v>0</v>
      </c>
      <c r="C2" s="111" t="s">
        <v>6</v>
      </c>
      <c r="D2" s="111" t="s">
        <v>7</v>
      </c>
      <c r="E2" s="111" t="s">
        <v>1</v>
      </c>
      <c r="F2" s="111" t="s">
        <v>2</v>
      </c>
      <c r="G2" s="111" t="s">
        <v>3</v>
      </c>
      <c r="H2" s="112" t="s">
        <v>4</v>
      </c>
      <c r="I2" s="113" t="s">
        <v>30</v>
      </c>
      <c r="J2" s="111" t="s">
        <v>31</v>
      </c>
      <c r="K2" s="111" t="s">
        <v>32</v>
      </c>
      <c r="L2" s="111" t="s">
        <v>33</v>
      </c>
      <c r="M2" s="111" t="s">
        <v>34</v>
      </c>
      <c r="N2" s="111" t="s">
        <v>82</v>
      </c>
      <c r="O2" s="112" t="s">
        <v>35</v>
      </c>
      <c r="P2" s="113" t="s">
        <v>38</v>
      </c>
      <c r="Q2" s="111" t="s">
        <v>36</v>
      </c>
      <c r="R2" s="111" t="s">
        <v>37</v>
      </c>
      <c r="S2" s="111" t="s">
        <v>39</v>
      </c>
      <c r="T2" s="112" t="s">
        <v>40</v>
      </c>
      <c r="U2" s="111" t="s">
        <v>27</v>
      </c>
      <c r="V2" s="111" t="s">
        <v>41</v>
      </c>
      <c r="W2" s="111" t="s">
        <v>42</v>
      </c>
      <c r="X2" s="111" t="s">
        <v>60</v>
      </c>
      <c r="Y2" s="111" t="s">
        <v>63</v>
      </c>
      <c r="Z2" s="111" t="s">
        <v>67</v>
      </c>
      <c r="AA2" s="111" t="s">
        <v>102</v>
      </c>
    </row>
    <row r="3" spans="2:27" x14ac:dyDescent="0.35">
      <c r="B3" s="1" t="s">
        <v>8</v>
      </c>
      <c r="C3" s="1" t="s">
        <v>9</v>
      </c>
      <c r="D3" s="1" t="s">
        <v>13</v>
      </c>
      <c r="E3" s="1" t="s">
        <v>10</v>
      </c>
      <c r="F3" s="1" t="s">
        <v>12</v>
      </c>
      <c r="G3" s="1" t="s">
        <v>80</v>
      </c>
      <c r="H3" s="100" t="s">
        <v>11</v>
      </c>
      <c r="I3" s="102"/>
      <c r="J3" s="7"/>
      <c r="K3" s="7"/>
      <c r="L3" s="7"/>
      <c r="M3" s="7"/>
      <c r="N3" s="7"/>
      <c r="O3" s="103"/>
      <c r="P3" s="102"/>
      <c r="Q3" s="7"/>
      <c r="R3" s="7"/>
      <c r="T3" s="24"/>
    </row>
    <row r="4" spans="2:27" x14ac:dyDescent="0.35">
      <c r="B4" s="16" t="s">
        <v>44</v>
      </c>
      <c r="C4" s="22">
        <v>22</v>
      </c>
      <c r="D4" s="2">
        <f>C4</f>
        <v>22</v>
      </c>
      <c r="E4" s="23">
        <v>800</v>
      </c>
      <c r="F4" s="5">
        <f>E4</f>
        <v>800</v>
      </c>
      <c r="G4" s="2">
        <f t="shared" ref="G4:G15" si="0">_xlfn.FLOOR.MATH(VLOOKUP(B4,$K$23:$L$35,2,FALSE)*E4,1)</f>
        <v>120</v>
      </c>
      <c r="H4" s="101">
        <f>F4+G4</f>
        <v>920</v>
      </c>
      <c r="I4" s="104">
        <f>H4-G26</f>
        <v>620</v>
      </c>
      <c r="J4" s="14">
        <f>C4*$G$23</f>
        <v>1848.2066640953758</v>
      </c>
      <c r="K4" s="5">
        <f>J4-I4</f>
        <v>1228.2066640953758</v>
      </c>
      <c r="L4" s="5">
        <f>IF(K4&gt;0,,ABS(K4))</f>
        <v>0</v>
      </c>
      <c r="M4" s="5">
        <f t="shared" ref="M4:M15" si="1">IF(K4&gt;0,,C4*$G$23*$G$25)</f>
        <v>0</v>
      </c>
      <c r="N4" s="5">
        <f>IF(L4&lt;M4,0,L4-M4)</f>
        <v>0</v>
      </c>
      <c r="O4" s="101">
        <f>IF(K4&gt;0,IF(SUM($K$4:K4)&gt;0,IF(SUM($K$4:K4)&gt;$N$17,($N$17-SUM($O3:O$4)),IF(SUM($K$4:K5)&gt;SUM($K$4:K4),K4,0)),0),0)</f>
        <v>1228.2066640953758</v>
      </c>
      <c r="P4" s="105">
        <f>I4+O4-L4</f>
        <v>1848.2066640953758</v>
      </c>
      <c r="Q4" s="5">
        <f>P4+IF(L4&lt;M4,L4,M4)+$G$26</f>
        <v>2148.2066640953758</v>
      </c>
      <c r="R4" s="5">
        <f>Q4-H4</f>
        <v>1228.2066640953758</v>
      </c>
      <c r="S4" s="4">
        <f>(P4)/C4</f>
        <v>84.009393822517083</v>
      </c>
      <c r="T4" s="106">
        <v>0</v>
      </c>
      <c r="U4" s="8">
        <f t="shared" ref="U4:U15" si="2">R4*$G$27</f>
        <v>85974.466486676305</v>
      </c>
      <c r="V4" s="6">
        <f t="shared" ref="V4:V15" si="3">ABS(T4)*$G$29</f>
        <v>0</v>
      </c>
      <c r="W4" s="8">
        <f t="shared" ref="W4:W15" si="4">IF(L4&lt;M4,L4,M4)*$G$24</f>
        <v>0</v>
      </c>
      <c r="X4" s="20" cm="1">
        <f t="array" ref="X4">_xlfn.IFS(P4&lt;$H$41,P4*$G$30,AND(P4&gt;=$H$41,P4&lt;=$I$41),P4*$G$30*(1-$G$41),P4&gt;$I$41,P4*$G$30*(1-$G$42))</f>
        <v>443569.59938289021</v>
      </c>
      <c r="Y4" s="20">
        <f t="shared" ref="Y4:Y15" si="5">IF(R4&lt;$G$46,,$G$45)</f>
        <v>0</v>
      </c>
      <c r="Z4" s="20">
        <f t="shared" ref="Z4:Z15" si="6">C4*$G$51*$G$50*$G$49*VLOOKUP(B4,$K$24:$M$35,3,FALSE)</f>
        <v>35200</v>
      </c>
      <c r="AA4" s="8">
        <f>SUM(U4:Z4)</f>
        <v>564744.06586956652</v>
      </c>
    </row>
    <row r="5" spans="2:27" x14ac:dyDescent="0.35">
      <c r="B5" s="13" t="s">
        <v>45</v>
      </c>
      <c r="C5" s="22">
        <v>10</v>
      </c>
      <c r="D5" s="2">
        <f>D4+C5</f>
        <v>32</v>
      </c>
      <c r="E5" s="23">
        <v>700</v>
      </c>
      <c r="F5" s="5">
        <f>F4+E5</f>
        <v>1500</v>
      </c>
      <c r="G5" s="2">
        <f t="shared" si="0"/>
        <v>105</v>
      </c>
      <c r="H5" s="101">
        <f t="shared" ref="H5:H15" si="7">F5+G5</f>
        <v>1605</v>
      </c>
      <c r="I5" s="104">
        <f>H5-H4</f>
        <v>685</v>
      </c>
      <c r="J5" s="14">
        <f t="shared" ref="J4:J15" si="8">C5*$G$23</f>
        <v>840.09393822517086</v>
      </c>
      <c r="K5" s="5">
        <f t="shared" ref="K5:K15" si="9">J5-I5</f>
        <v>155.09393822517086</v>
      </c>
      <c r="L5" s="5">
        <f t="shared" ref="L5:L15" si="10">IF(K5&gt;0,,ABS(K5))</f>
        <v>0</v>
      </c>
      <c r="M5" s="5">
        <f t="shared" si="1"/>
        <v>0</v>
      </c>
      <c r="N5" s="5">
        <f t="shared" ref="N5:N15" si="11">IF(L5&lt;M5,0,L5-M5)</f>
        <v>0</v>
      </c>
      <c r="O5" s="101">
        <f>IF(SUM($O$4:O4)=$N$17,0,IF(K5&gt;0,IF(SUM($K$4:K5)&gt;0,IF(SUM($K$4:K5)&gt;$N$17,($N$17-SUM($O$4:O4)),IF(SUM($K$4:K6)&gt;SUM($K$4:K5),K5,0)),0),0))</f>
        <v>155.09393822517086</v>
      </c>
      <c r="P5" s="105">
        <f t="shared" ref="P5:P15" si="12">I5+O5-L5</f>
        <v>840.09393822517086</v>
      </c>
      <c r="Q5" s="5">
        <f t="shared" ref="Q5:Q15" si="13">Q4+P5+IF(L5&lt;M5,L5,M5)</f>
        <v>2988.3006023205467</v>
      </c>
      <c r="R5" s="5">
        <f t="shared" ref="R5:R15" si="14">Q5-H5</f>
        <v>1383.3006023205467</v>
      </c>
      <c r="S5" s="4">
        <f t="shared" ref="S5:S14" si="15">P5/C5</f>
        <v>84.009393822517083</v>
      </c>
      <c r="T5" s="106">
        <f>S5-S4</f>
        <v>0</v>
      </c>
      <c r="U5" s="8">
        <f t="shared" si="2"/>
        <v>96831.042162438272</v>
      </c>
      <c r="V5" s="6">
        <f t="shared" si="3"/>
        <v>0</v>
      </c>
      <c r="W5" s="8">
        <f t="shared" si="4"/>
        <v>0</v>
      </c>
      <c r="X5" s="20" cm="1">
        <f t="array" ref="X5">_xlfn.IFS(P5&lt;$H$41,P5*$G$30,AND(P5&gt;=$H$41,P5&lt;=$I$41),P5*$G$30*(1-$G$41),P5&gt;$I$41,P5*$G$30*(1-$G$42))</f>
        <v>252028.18146755127</v>
      </c>
      <c r="Y5" s="20">
        <f t="shared" si="5"/>
        <v>0</v>
      </c>
      <c r="Z5" s="20">
        <f t="shared" si="6"/>
        <v>16000</v>
      </c>
      <c r="AA5" s="8">
        <f t="shared" ref="AA5:AA15" si="16">SUM(U5:Z5)</f>
        <v>364859.22362998954</v>
      </c>
    </row>
    <row r="6" spans="2:27" x14ac:dyDescent="0.35">
      <c r="B6" s="16" t="s">
        <v>46</v>
      </c>
      <c r="C6" s="22">
        <v>23</v>
      </c>
      <c r="D6" s="2">
        <f t="shared" ref="D6:D15" si="17">D5+C6</f>
        <v>55</v>
      </c>
      <c r="E6" s="23">
        <v>1200</v>
      </c>
      <c r="F6" s="5">
        <f t="shared" ref="F6:F15" si="18">F5+E6</f>
        <v>2700</v>
      </c>
      <c r="G6" s="2">
        <f t="shared" si="0"/>
        <v>210</v>
      </c>
      <c r="H6" s="101">
        <f t="shared" si="7"/>
        <v>2910</v>
      </c>
      <c r="I6" s="104">
        <f t="shared" ref="I5:I15" si="19">H6-H5</f>
        <v>1305</v>
      </c>
      <c r="J6" s="14">
        <f t="shared" si="8"/>
        <v>1932.2160579178928</v>
      </c>
      <c r="K6" s="5">
        <f t="shared" si="9"/>
        <v>627.21605791789284</v>
      </c>
      <c r="L6" s="5">
        <f t="shared" si="10"/>
        <v>0</v>
      </c>
      <c r="M6" s="5">
        <f t="shared" si="1"/>
        <v>0</v>
      </c>
      <c r="N6" s="5">
        <f t="shared" si="11"/>
        <v>0</v>
      </c>
      <c r="O6" s="101">
        <f>IF(SUM($O$4:O5)=$N$17,0,IF(K6&gt;0,IF(SUM($K$4:K6)&gt;0,IF(SUM($K$4:K6)&gt;$N$17,($N$17-SUM($O$4:O5)),IF(SUM($K$4:K7)&gt;SUM($K$4:K6),K6,0)),0),0))</f>
        <v>129.44916832204353</v>
      </c>
      <c r="P6" s="105">
        <f t="shared" si="12"/>
        <v>1434.4491683220435</v>
      </c>
      <c r="Q6" s="5">
        <f t="shared" si="13"/>
        <v>4422.7497706425902</v>
      </c>
      <c r="R6" s="5">
        <f t="shared" si="14"/>
        <v>1512.7497706425902</v>
      </c>
      <c r="S6" s="4">
        <f t="shared" si="15"/>
        <v>62.367355144436672</v>
      </c>
      <c r="T6" s="106">
        <f t="shared" ref="T6:T15" si="20">S6-S5</f>
        <v>-21.642038678080411</v>
      </c>
      <c r="U6" s="8">
        <f t="shared" si="2"/>
        <v>105892.48394498132</v>
      </c>
      <c r="V6" s="6">
        <f t="shared" si="3"/>
        <v>8656.8154712321648</v>
      </c>
      <c r="W6" s="8">
        <f t="shared" si="4"/>
        <v>0</v>
      </c>
      <c r="X6" s="20" cm="1">
        <f t="array" ref="X6">_xlfn.IFS(P6&lt;$H$41,P6*$G$30,AND(P6&gt;=$H$41,P6&lt;=$I$41),P6*$G$30*(1-$G$41),P6&gt;$I$41,P6*$G$30*(1-$G$42))</f>
        <v>365784.53792212106</v>
      </c>
      <c r="Y6" s="20">
        <f t="shared" si="5"/>
        <v>0</v>
      </c>
      <c r="Z6" s="20">
        <f t="shared" si="6"/>
        <v>36800</v>
      </c>
      <c r="AA6" s="8">
        <f t="shared" si="16"/>
        <v>517133.83733833453</v>
      </c>
    </row>
    <row r="7" spans="2:27" x14ac:dyDescent="0.35">
      <c r="B7" s="13" t="s">
        <v>47</v>
      </c>
      <c r="C7" s="22">
        <v>19</v>
      </c>
      <c r="D7" s="2">
        <f t="shared" si="17"/>
        <v>74</v>
      </c>
      <c r="E7" s="23">
        <v>1600</v>
      </c>
      <c r="F7" s="5">
        <f t="shared" si="18"/>
        <v>4300</v>
      </c>
      <c r="G7" s="2">
        <f t="shared" si="0"/>
        <v>280</v>
      </c>
      <c r="H7" s="101">
        <f t="shared" si="7"/>
        <v>4580</v>
      </c>
      <c r="I7" s="104">
        <f t="shared" si="19"/>
        <v>1670</v>
      </c>
      <c r="J7" s="14">
        <f t="shared" si="8"/>
        <v>1596.1784826278247</v>
      </c>
      <c r="K7" s="5">
        <f>J7-I7</f>
        <v>-73.821517372175322</v>
      </c>
      <c r="L7" s="5">
        <f t="shared" si="10"/>
        <v>73.821517372175322</v>
      </c>
      <c r="M7" s="5">
        <f>IF(K7&gt;0,,C7*$G$23*$G$25)</f>
        <v>478.85354478834739</v>
      </c>
      <c r="N7" s="5">
        <f t="shared" si="11"/>
        <v>0</v>
      </c>
      <c r="O7" s="101">
        <f>IF(SUM($O$4:O6)=$N$17,0,IF(K7&gt;0,IF(SUM($K$4:K7)&gt;0,IF(SUM($K$4:K7)&gt;$N$17,($N$17-SUM($O$4:O6)),IF(SUM($K$4:K8)&gt;SUM($K$4:K7),K7,0)),0),0))</f>
        <v>0</v>
      </c>
      <c r="P7" s="105">
        <f t="shared" si="12"/>
        <v>1596.1784826278247</v>
      </c>
      <c r="Q7" s="5">
        <f t="shared" si="13"/>
        <v>6092.7497706425902</v>
      </c>
      <c r="R7" s="5">
        <f t="shared" si="14"/>
        <v>1512.7497706425902</v>
      </c>
      <c r="S7" s="4">
        <f t="shared" si="15"/>
        <v>84.009393822517083</v>
      </c>
      <c r="T7" s="106">
        <f t="shared" si="20"/>
        <v>21.642038678080411</v>
      </c>
      <c r="U7" s="8">
        <f t="shared" si="2"/>
        <v>105892.48394498132</v>
      </c>
      <c r="V7" s="6">
        <f t="shared" si="3"/>
        <v>8656.8154712321648</v>
      </c>
      <c r="W7" s="8">
        <f t="shared" si="4"/>
        <v>18455.379343043831</v>
      </c>
      <c r="X7" s="20" cm="1">
        <f t="array" ref="X7">_xlfn.IFS(P7&lt;$H$41,P7*$G$30,AND(P7&gt;=$H$41,P7&lt;=$I$41),P7*$G$30*(1-$G$41),P7&gt;$I$41,P7*$G$30*(1-$G$42))</f>
        <v>407025.51307009527</v>
      </c>
      <c r="Y7" s="20">
        <f t="shared" si="5"/>
        <v>0</v>
      </c>
      <c r="Z7" s="20">
        <f t="shared" si="6"/>
        <v>45600</v>
      </c>
      <c r="AA7" s="8">
        <f t="shared" si="16"/>
        <v>585630.19182935264</v>
      </c>
    </row>
    <row r="8" spans="2:27" x14ac:dyDescent="0.35">
      <c r="B8" s="16" t="s">
        <v>48</v>
      </c>
      <c r="C8" s="22">
        <v>22</v>
      </c>
      <c r="D8" s="2">
        <f t="shared" si="17"/>
        <v>96</v>
      </c>
      <c r="E8" s="23">
        <v>2200</v>
      </c>
      <c r="F8" s="5">
        <f t="shared" si="18"/>
        <v>6500</v>
      </c>
      <c r="G8" s="2">
        <f t="shared" si="0"/>
        <v>550</v>
      </c>
      <c r="H8" s="101">
        <f t="shared" si="7"/>
        <v>7050</v>
      </c>
      <c r="I8" s="104">
        <f t="shared" si="19"/>
        <v>2470</v>
      </c>
      <c r="J8" s="14">
        <f t="shared" si="8"/>
        <v>1848.2066640953758</v>
      </c>
      <c r="K8" s="5">
        <f t="shared" si="9"/>
        <v>-621.7933359046242</v>
      </c>
      <c r="L8" s="5">
        <f t="shared" si="10"/>
        <v>621.7933359046242</v>
      </c>
      <c r="M8" s="5">
        <f t="shared" si="1"/>
        <v>554.46199922861274</v>
      </c>
      <c r="N8" s="5">
        <f>IF(L8&lt;M8,0,L8-M8)</f>
        <v>67.33133667601146</v>
      </c>
      <c r="O8" s="101">
        <f>IF(SUM($O$4:O7)=$N$17,0,IF(K8&gt;0,IF(SUM($K$4:K8)&gt;0,IF(SUM($K$4:K8)&gt;$N$17,($N$17-SUM($O$4:O7)),IF(SUM($K$4:K9)&gt;SUM($K$4:K8),K8,0)),0),0))</f>
        <v>0</v>
      </c>
      <c r="P8" s="105">
        <f t="shared" si="12"/>
        <v>1848.2066640953758</v>
      </c>
      <c r="Q8" s="5">
        <f t="shared" si="13"/>
        <v>8495.418433966579</v>
      </c>
      <c r="R8" s="5">
        <f t="shared" si="14"/>
        <v>1445.418433966579</v>
      </c>
      <c r="S8" s="4">
        <f t="shared" si="15"/>
        <v>84.009393822517083</v>
      </c>
      <c r="T8" s="106">
        <f t="shared" si="20"/>
        <v>0</v>
      </c>
      <c r="U8" s="8">
        <f t="shared" si="2"/>
        <v>101179.29037766052</v>
      </c>
      <c r="V8" s="6">
        <f t="shared" si="3"/>
        <v>0</v>
      </c>
      <c r="W8" s="8">
        <f t="shared" si="4"/>
        <v>138615.49980715319</v>
      </c>
      <c r="X8" s="20" cm="1">
        <f t="array" ref="X8">_xlfn.IFS(P8&lt;$H$41,P8*$G$30,AND(P8&gt;=$H$41,P8&lt;=$I$41),P8*$G$30*(1-$G$41),P8&gt;$I$41,P8*$G$30*(1-$G$42))</f>
        <v>443569.59938289021</v>
      </c>
      <c r="Y8" s="20">
        <f t="shared" si="5"/>
        <v>0</v>
      </c>
      <c r="Z8" s="20">
        <f t="shared" si="6"/>
        <v>35200</v>
      </c>
      <c r="AA8" s="8">
        <f t="shared" si="16"/>
        <v>718564.38956770394</v>
      </c>
    </row>
    <row r="9" spans="2:27" x14ac:dyDescent="0.35">
      <c r="B9" s="13" t="s">
        <v>49</v>
      </c>
      <c r="C9" s="22">
        <v>22</v>
      </c>
      <c r="D9" s="2">
        <f t="shared" si="17"/>
        <v>118</v>
      </c>
      <c r="E9" s="23">
        <v>2800</v>
      </c>
      <c r="F9" s="5">
        <f t="shared" si="18"/>
        <v>9300</v>
      </c>
      <c r="G9" s="2">
        <f t="shared" si="0"/>
        <v>980</v>
      </c>
      <c r="H9" s="101">
        <f t="shared" si="7"/>
        <v>10280</v>
      </c>
      <c r="I9" s="104">
        <f t="shared" si="19"/>
        <v>3230</v>
      </c>
      <c r="J9" s="14">
        <f t="shared" si="8"/>
        <v>1848.2066640953758</v>
      </c>
      <c r="K9" s="5">
        <f t="shared" si="9"/>
        <v>-1381.7933359046242</v>
      </c>
      <c r="L9" s="5">
        <f t="shared" si="10"/>
        <v>1381.7933359046242</v>
      </c>
      <c r="M9" s="5">
        <f t="shared" si="1"/>
        <v>554.46199922861274</v>
      </c>
      <c r="N9" s="5">
        <f t="shared" si="11"/>
        <v>827.33133667601146</v>
      </c>
      <c r="O9" s="101">
        <f>IF(SUM($O$4:O8)=$N$17,0,IF(K9&gt;0,IF(SUM($K$4:K9)&gt;0,IF(SUM($K$4:K9)&gt;$N$17,($N$17-SUM($O$4:O8)),IF(SUM($K$4:K10)&gt;SUM($K$4:K9),K9,0)),0),0))</f>
        <v>0</v>
      </c>
      <c r="P9" s="105">
        <f t="shared" si="12"/>
        <v>1848.2066640953758</v>
      </c>
      <c r="Q9" s="5">
        <f t="shared" si="13"/>
        <v>10898.087097290569</v>
      </c>
      <c r="R9" s="5">
        <f t="shared" si="14"/>
        <v>618.08709729056864</v>
      </c>
      <c r="S9" s="4">
        <f t="shared" si="15"/>
        <v>84.009393822517083</v>
      </c>
      <c r="T9" s="106">
        <f t="shared" si="20"/>
        <v>0</v>
      </c>
      <c r="U9" s="8">
        <f t="shared" si="2"/>
        <v>43266.096810339805</v>
      </c>
      <c r="V9" s="6">
        <f t="shared" si="3"/>
        <v>0</v>
      </c>
      <c r="W9" s="8">
        <f t="shared" si="4"/>
        <v>138615.49980715319</v>
      </c>
      <c r="X9" s="20" cm="1">
        <f t="array" ref="X9">_xlfn.IFS(P9&lt;$H$41,P9*$G$30,AND(P9&gt;=$H$41,P9&lt;=$I$41),P9*$G$30*(1-$G$41),P9&gt;$I$41,P9*$G$30*(1-$G$42))</f>
        <v>443569.59938289021</v>
      </c>
      <c r="Y9" s="20">
        <f t="shared" si="5"/>
        <v>0</v>
      </c>
      <c r="Z9" s="20">
        <f t="shared" si="6"/>
        <v>35200</v>
      </c>
      <c r="AA9" s="8">
        <f t="shared" si="16"/>
        <v>660651.19600038324</v>
      </c>
    </row>
    <row r="10" spans="2:27" x14ac:dyDescent="0.35">
      <c r="B10" s="16" t="s">
        <v>50</v>
      </c>
      <c r="C10" s="22">
        <v>20</v>
      </c>
      <c r="D10" s="2">
        <f t="shared" si="17"/>
        <v>138</v>
      </c>
      <c r="E10" s="23">
        <v>2700</v>
      </c>
      <c r="F10" s="5">
        <f t="shared" si="18"/>
        <v>12000</v>
      </c>
      <c r="G10" s="2">
        <f t="shared" si="0"/>
        <v>810</v>
      </c>
      <c r="H10" s="101">
        <f t="shared" si="7"/>
        <v>12810</v>
      </c>
      <c r="I10" s="104">
        <f t="shared" si="19"/>
        <v>2530</v>
      </c>
      <c r="J10" s="14">
        <f t="shared" si="8"/>
        <v>1680.1878764503417</v>
      </c>
      <c r="K10" s="5">
        <f t="shared" si="9"/>
        <v>-849.81212354965828</v>
      </c>
      <c r="L10" s="5">
        <f t="shared" si="10"/>
        <v>849.81212354965828</v>
      </c>
      <c r="M10" s="5">
        <f t="shared" si="1"/>
        <v>504.05636293510247</v>
      </c>
      <c r="N10" s="5">
        <f t="shared" si="11"/>
        <v>345.75576061455581</v>
      </c>
      <c r="O10" s="101">
        <f>IF(SUM($O$4:O9)=$N$17,0,IF(K10&gt;0,IF(SUM($K$4:K10)&gt;0,IF(SUM($K$4:K10)&gt;$N$17,($N$17-SUM($O$4:O9)),IF(SUM($K$4:K11)&gt;SUM($K$4:K10),K10,0)),0),0))</f>
        <v>0</v>
      </c>
      <c r="P10" s="105">
        <f t="shared" si="12"/>
        <v>1680.1878764503417</v>
      </c>
      <c r="Q10" s="5">
        <f t="shared" si="13"/>
        <v>13082.331336676012</v>
      </c>
      <c r="R10" s="5">
        <f t="shared" si="14"/>
        <v>272.33133667601214</v>
      </c>
      <c r="S10" s="4">
        <f t="shared" si="15"/>
        <v>84.009393822517083</v>
      </c>
      <c r="T10" s="106">
        <f t="shared" si="20"/>
        <v>0</v>
      </c>
      <c r="U10" s="8">
        <f t="shared" si="2"/>
        <v>19063.19356732085</v>
      </c>
      <c r="V10" s="6">
        <f t="shared" si="3"/>
        <v>0</v>
      </c>
      <c r="W10" s="8">
        <f t="shared" si="4"/>
        <v>126014.09073377562</v>
      </c>
      <c r="X10" s="20" cm="1">
        <f t="array" ref="X10">_xlfn.IFS(P10&lt;$H$41,P10*$G$30,AND(P10&gt;=$H$41,P10&lt;=$I$41),P10*$G$30*(1-$G$41),P10&gt;$I$41,P10*$G$30*(1-$G$42))</f>
        <v>428447.90849483717</v>
      </c>
      <c r="Y10" s="20">
        <f t="shared" si="5"/>
        <v>0</v>
      </c>
      <c r="Z10" s="20">
        <f t="shared" si="6"/>
        <v>32000</v>
      </c>
      <c r="AA10" s="8">
        <f t="shared" si="16"/>
        <v>605525.19279593369</v>
      </c>
    </row>
    <row r="11" spans="2:27" x14ac:dyDescent="0.35">
      <c r="B11" s="13" t="s">
        <v>51</v>
      </c>
      <c r="C11" s="22">
        <v>23</v>
      </c>
      <c r="D11" s="2">
        <f t="shared" si="17"/>
        <v>161</v>
      </c>
      <c r="E11" s="23">
        <v>1300</v>
      </c>
      <c r="F11" s="5">
        <f t="shared" si="18"/>
        <v>13300</v>
      </c>
      <c r="G11" s="2">
        <f t="shared" si="0"/>
        <v>390</v>
      </c>
      <c r="H11" s="101">
        <f t="shared" si="7"/>
        <v>13690</v>
      </c>
      <c r="I11" s="104">
        <f t="shared" si="19"/>
        <v>880</v>
      </c>
      <c r="J11" s="14">
        <f t="shared" si="8"/>
        <v>1932.2160579178928</v>
      </c>
      <c r="K11" s="5">
        <f t="shared" si="9"/>
        <v>1052.2160579178928</v>
      </c>
      <c r="L11" s="5">
        <f t="shared" si="10"/>
        <v>0</v>
      </c>
      <c r="M11" s="5">
        <f t="shared" si="1"/>
        <v>0</v>
      </c>
      <c r="N11" s="5">
        <f t="shared" si="11"/>
        <v>0</v>
      </c>
      <c r="O11" s="101">
        <f>IF(SUM($O$4:O10)=$N$17,0,IF(K11&gt;0,IF(SUM($K$4:K11)&gt;0,IF(SUM($K$4:K11)&gt;$N$17,($N$17-SUM($O$4:O10)),IF(SUM($K$4:K12)&gt;SUM($K$4:K11),K11,0)),0),0))</f>
        <v>0</v>
      </c>
      <c r="P11" s="105">
        <f t="shared" si="12"/>
        <v>880</v>
      </c>
      <c r="Q11" s="5">
        <f t="shared" si="13"/>
        <v>13962.331336676012</v>
      </c>
      <c r="R11" s="5">
        <f t="shared" si="14"/>
        <v>272.33133667601214</v>
      </c>
      <c r="S11" s="4">
        <f t="shared" si="15"/>
        <v>38.260869565217391</v>
      </c>
      <c r="T11" s="106">
        <f t="shared" si="20"/>
        <v>-45.748524257299692</v>
      </c>
      <c r="U11" s="8">
        <f t="shared" si="2"/>
        <v>19063.19356732085</v>
      </c>
      <c r="V11" s="6">
        <f t="shared" si="3"/>
        <v>18299.409702919878</v>
      </c>
      <c r="W11" s="8">
        <f t="shared" si="4"/>
        <v>0</v>
      </c>
      <c r="X11" s="20" cm="1">
        <f t="array" ref="X11">_xlfn.IFS(P11&lt;$H$41,P11*$G$30,AND(P11&gt;=$H$41,P11&lt;=$I$41),P11*$G$30*(1-$G$41),P11&gt;$I$41,P11*$G$30*(1-$G$42))</f>
        <v>264000</v>
      </c>
      <c r="Y11" s="20">
        <f t="shared" si="5"/>
        <v>0</v>
      </c>
      <c r="Z11" s="20">
        <f t="shared" si="6"/>
        <v>55200</v>
      </c>
      <c r="AA11" s="8">
        <f t="shared" si="16"/>
        <v>356562.60327024071</v>
      </c>
    </row>
    <row r="12" spans="2:27" x14ac:dyDescent="0.35">
      <c r="B12" s="16" t="s">
        <v>52</v>
      </c>
      <c r="C12" s="22">
        <v>21</v>
      </c>
      <c r="D12" s="2">
        <f t="shared" si="17"/>
        <v>182</v>
      </c>
      <c r="E12" s="23">
        <v>800</v>
      </c>
      <c r="F12" s="5">
        <f t="shared" si="18"/>
        <v>14100</v>
      </c>
      <c r="G12" s="2">
        <f t="shared" si="0"/>
        <v>160</v>
      </c>
      <c r="H12" s="101">
        <f t="shared" si="7"/>
        <v>14260</v>
      </c>
      <c r="I12" s="104">
        <f t="shared" si="19"/>
        <v>570</v>
      </c>
      <c r="J12" s="14">
        <f t="shared" si="8"/>
        <v>1764.1972702728588</v>
      </c>
      <c r="K12" s="5">
        <f t="shared" si="9"/>
        <v>1194.1972702728588</v>
      </c>
      <c r="L12" s="5">
        <f t="shared" si="10"/>
        <v>0</v>
      </c>
      <c r="M12" s="5">
        <f t="shared" si="1"/>
        <v>0</v>
      </c>
      <c r="N12" s="5">
        <f t="shared" si="11"/>
        <v>0</v>
      </c>
      <c r="O12" s="101">
        <f>IF(SUM($O$4:O11)=$N$17,0,IF(K12&gt;0,IF(SUM($K$4:K12)&gt;0,IF(SUM($K$4:K12)&gt;$N$17,($N$17-SUM($O$4:O11)),IF(SUM($K$4:K13)&gt;SUM($K$4:K12),K12,0)),0),0))</f>
        <v>0</v>
      </c>
      <c r="P12" s="105">
        <f t="shared" si="12"/>
        <v>570</v>
      </c>
      <c r="Q12" s="5">
        <f t="shared" si="13"/>
        <v>14532.331336676012</v>
      </c>
      <c r="R12" s="5">
        <f t="shared" si="14"/>
        <v>272.33133667601214</v>
      </c>
      <c r="S12" s="4">
        <f t="shared" si="15"/>
        <v>27.142857142857142</v>
      </c>
      <c r="T12" s="106">
        <f t="shared" si="20"/>
        <v>-11.118012422360248</v>
      </c>
      <c r="U12" s="8">
        <f t="shared" si="2"/>
        <v>19063.19356732085</v>
      </c>
      <c r="V12" s="6">
        <f t="shared" si="3"/>
        <v>4447.2049689440992</v>
      </c>
      <c r="W12" s="8">
        <f t="shared" si="4"/>
        <v>0</v>
      </c>
      <c r="X12" s="20" cm="1">
        <f t="array" ref="X12">_xlfn.IFS(P12&lt;$H$41,P12*$G$30,AND(P12&gt;=$H$41,P12&lt;=$I$41),P12*$G$30*(1-$G$41),P12&gt;$I$41,P12*$G$30*(1-$G$42))</f>
        <v>171000</v>
      </c>
      <c r="Y12" s="20">
        <f t="shared" si="5"/>
        <v>0</v>
      </c>
      <c r="Z12" s="20">
        <f t="shared" si="6"/>
        <v>33600</v>
      </c>
      <c r="AA12" s="8">
        <f t="shared" si="16"/>
        <v>228110.39853626495</v>
      </c>
    </row>
    <row r="13" spans="2:27" x14ac:dyDescent="0.35">
      <c r="B13" s="13" t="s">
        <v>53</v>
      </c>
      <c r="C13" s="22">
        <v>22</v>
      </c>
      <c r="D13" s="2">
        <f t="shared" si="17"/>
        <v>204</v>
      </c>
      <c r="E13" s="23">
        <v>1800</v>
      </c>
      <c r="F13" s="5">
        <f t="shared" si="18"/>
        <v>15900</v>
      </c>
      <c r="G13" s="2">
        <f t="shared" si="0"/>
        <v>450</v>
      </c>
      <c r="H13" s="101">
        <f t="shared" si="7"/>
        <v>16350</v>
      </c>
      <c r="I13" s="104">
        <f t="shared" si="19"/>
        <v>2090</v>
      </c>
      <c r="J13" s="14">
        <f t="shared" si="8"/>
        <v>1848.2066640953758</v>
      </c>
      <c r="K13" s="5">
        <f t="shared" si="9"/>
        <v>-241.7933359046242</v>
      </c>
      <c r="L13" s="5">
        <f t="shared" si="10"/>
        <v>241.7933359046242</v>
      </c>
      <c r="M13" s="5">
        <f t="shared" si="1"/>
        <v>554.46199922861274</v>
      </c>
      <c r="N13" s="5">
        <f t="shared" si="11"/>
        <v>0</v>
      </c>
      <c r="O13" s="101">
        <f>IF(SUM($O$4:O12)=$N$17,0,IF(K13&gt;0,IF(SUM($K$4:K13)&gt;0,IF(SUM($K$4:K13)&gt;$N$17,($N$17-SUM($O$4:O12)),IF(SUM($K$4:K14)&gt;SUM($K$4:K13),K13,0)),0),0))</f>
        <v>0</v>
      </c>
      <c r="P13" s="105">
        <f t="shared" si="12"/>
        <v>1848.2066640953758</v>
      </c>
      <c r="Q13" s="5">
        <f t="shared" si="13"/>
        <v>16622.331336676012</v>
      </c>
      <c r="R13" s="5">
        <f t="shared" si="14"/>
        <v>272.33133667601214</v>
      </c>
      <c r="S13" s="4">
        <f t="shared" si="15"/>
        <v>84.009393822517083</v>
      </c>
      <c r="T13" s="106">
        <f t="shared" si="20"/>
        <v>56.866536679659944</v>
      </c>
      <c r="U13" s="8">
        <f t="shared" si="2"/>
        <v>19063.19356732085</v>
      </c>
      <c r="V13" s="6">
        <f t="shared" si="3"/>
        <v>22746.614671863979</v>
      </c>
      <c r="W13" s="8">
        <f t="shared" si="4"/>
        <v>60448.333976156049</v>
      </c>
      <c r="X13" s="20" cm="1">
        <f t="array" ref="X13">_xlfn.IFS(P13&lt;$H$41,P13*$G$30,AND(P13&gt;=$H$41,P13&lt;=$I$41),P13*$G$30*(1-$G$41),P13&gt;$I$41,P13*$G$30*(1-$G$42))</f>
        <v>443569.59938289021</v>
      </c>
      <c r="Y13" s="20">
        <f t="shared" si="5"/>
        <v>0</v>
      </c>
      <c r="Z13" s="20">
        <f t="shared" si="6"/>
        <v>35200</v>
      </c>
      <c r="AA13" s="8">
        <f t="shared" si="16"/>
        <v>581027.74159823114</v>
      </c>
    </row>
    <row r="14" spans="2:27" x14ac:dyDescent="0.35">
      <c r="B14" s="16" t="s">
        <v>54</v>
      </c>
      <c r="C14" s="22">
        <v>22</v>
      </c>
      <c r="D14" s="2">
        <f t="shared" si="17"/>
        <v>226</v>
      </c>
      <c r="E14" s="23">
        <v>2500</v>
      </c>
      <c r="F14" s="5">
        <f t="shared" si="18"/>
        <v>18400</v>
      </c>
      <c r="G14" s="2">
        <f t="shared" si="0"/>
        <v>625</v>
      </c>
      <c r="H14" s="101">
        <f t="shared" si="7"/>
        <v>19025</v>
      </c>
      <c r="I14" s="104">
        <f t="shared" si="19"/>
        <v>2675</v>
      </c>
      <c r="J14" s="14">
        <f t="shared" si="8"/>
        <v>1848.2066640953758</v>
      </c>
      <c r="K14" s="5">
        <f t="shared" si="9"/>
        <v>-826.7933359046242</v>
      </c>
      <c r="L14" s="5">
        <f t="shared" si="10"/>
        <v>826.7933359046242</v>
      </c>
      <c r="M14" s="5">
        <f t="shared" si="1"/>
        <v>554.46199922861274</v>
      </c>
      <c r="N14" s="5">
        <f t="shared" si="11"/>
        <v>272.33133667601146</v>
      </c>
      <c r="O14" s="101">
        <f>IF(SUM($O$4:O13)=$N$17,0,IF(K14&gt;0,IF(SUM($K$4:K14)&gt;0,IF(SUM($K$4:K14)&gt;$N$17,($N$17-SUM($O$4:O13)),IF(SUM($K$4:K15)&gt;SUM($K$4:K14),K14,0)),0),0))</f>
        <v>0</v>
      </c>
      <c r="P14" s="105">
        <f t="shared" si="12"/>
        <v>1848.2066640953758</v>
      </c>
      <c r="Q14" s="5">
        <f t="shared" si="13"/>
        <v>19025</v>
      </c>
      <c r="R14" s="5">
        <f t="shared" si="14"/>
        <v>0</v>
      </c>
      <c r="S14" s="4">
        <f t="shared" si="15"/>
        <v>84.009393822517083</v>
      </c>
      <c r="T14" s="106">
        <f t="shared" si="20"/>
        <v>0</v>
      </c>
      <c r="U14" s="8">
        <f t="shared" si="2"/>
        <v>0</v>
      </c>
      <c r="V14" s="6">
        <f t="shared" si="3"/>
        <v>0</v>
      </c>
      <c r="W14" s="8">
        <f t="shared" si="4"/>
        <v>138615.49980715319</v>
      </c>
      <c r="X14" s="20" cm="1">
        <f t="array" ref="X14">_xlfn.IFS(P14&lt;$H$41,P14*$G$30,AND(P14&gt;=$H$41,P14&lt;=$I$41),P14*$G$30*(1-$G$41),P14&gt;$I$41,P14*$G$30*(1-$G$42))</f>
        <v>443569.59938289021</v>
      </c>
      <c r="Y14" s="20">
        <f t="shared" si="5"/>
        <v>0</v>
      </c>
      <c r="Z14" s="20">
        <f t="shared" si="6"/>
        <v>35200</v>
      </c>
      <c r="AA14" s="8">
        <f t="shared" si="16"/>
        <v>617385.0991900434</v>
      </c>
    </row>
    <row r="15" spans="2:27" x14ac:dyDescent="0.35">
      <c r="B15" s="13" t="s">
        <v>55</v>
      </c>
      <c r="C15" s="22">
        <v>18</v>
      </c>
      <c r="D15" s="2">
        <f t="shared" si="17"/>
        <v>244</v>
      </c>
      <c r="E15" s="23">
        <v>900</v>
      </c>
      <c r="F15" s="5">
        <f t="shared" si="18"/>
        <v>19300</v>
      </c>
      <c r="G15" s="2">
        <f t="shared" si="0"/>
        <v>135</v>
      </c>
      <c r="H15" s="101">
        <f t="shared" si="7"/>
        <v>19435</v>
      </c>
      <c r="I15" s="104">
        <f t="shared" si="19"/>
        <v>410</v>
      </c>
      <c r="J15" s="14">
        <f t="shared" si="8"/>
        <v>1512.1690888053074</v>
      </c>
      <c r="K15" s="5">
        <f t="shared" si="9"/>
        <v>1102.1690888053074</v>
      </c>
      <c r="L15" s="5">
        <f t="shared" si="10"/>
        <v>0</v>
      </c>
      <c r="M15" s="5">
        <f t="shared" si="1"/>
        <v>0</v>
      </c>
      <c r="N15" s="5">
        <f t="shared" si="11"/>
        <v>0</v>
      </c>
      <c r="O15" s="101">
        <f>IF(SUM($O$4:O14)=$N$17,0,IF(K15&gt;0,IF(SUM($K$4:K15)&gt;0,IF(SUM($K$4:K15)&gt;$N$17,($N$17-SUM($O$4:O14)),IF(SUM($K$4:K16)&gt;SUM($K$4:K15),K15,0)),0),0))</f>
        <v>0</v>
      </c>
      <c r="P15" s="105">
        <f t="shared" si="12"/>
        <v>410</v>
      </c>
      <c r="Q15" s="5">
        <f t="shared" si="13"/>
        <v>19435</v>
      </c>
      <c r="R15" s="5">
        <f t="shared" si="14"/>
        <v>0</v>
      </c>
      <c r="S15" s="107">
        <f>$G$36/C15</f>
        <v>9.1666666666666661</v>
      </c>
      <c r="T15" s="106">
        <f t="shared" si="20"/>
        <v>-74.842727155850412</v>
      </c>
      <c r="U15" s="8">
        <f t="shared" si="2"/>
        <v>0</v>
      </c>
      <c r="V15" s="6">
        <f t="shared" si="3"/>
        <v>29937.090862340163</v>
      </c>
      <c r="W15" s="8">
        <f t="shared" si="4"/>
        <v>0</v>
      </c>
      <c r="X15" s="20" cm="1">
        <f t="array" ref="X15">_xlfn.IFS(P15&lt;$H$41,P15*$G$30,AND(P15&gt;=$H$41,P15&lt;=$I$41),P15*$G$30*(1-$G$41),P15&gt;$I$41,P15*$G$30*(1-$G$42))</f>
        <v>123000</v>
      </c>
      <c r="Y15" s="20">
        <f t="shared" si="5"/>
        <v>0</v>
      </c>
      <c r="Z15" s="20">
        <f t="shared" si="6"/>
        <v>57600</v>
      </c>
      <c r="AA15" s="8">
        <f t="shared" si="16"/>
        <v>210537.09086234018</v>
      </c>
    </row>
    <row r="16" spans="2:27" x14ac:dyDescent="0.35">
      <c r="B16" s="1"/>
      <c r="C16" s="93"/>
      <c r="D16" s="2"/>
      <c r="E16" s="99"/>
      <c r="F16" s="5"/>
      <c r="G16" s="2"/>
      <c r="H16" s="5"/>
      <c r="I16" s="15"/>
      <c r="J16" s="14"/>
      <c r="K16" s="5"/>
      <c r="L16" s="5"/>
      <c r="M16" s="5"/>
      <c r="N16" s="5"/>
      <c r="O16" s="5"/>
      <c r="P16" s="5"/>
      <c r="Q16" s="5"/>
      <c r="R16" s="5"/>
      <c r="S16" s="4"/>
      <c r="T16" s="6"/>
      <c r="U16" s="8"/>
      <c r="V16" s="6"/>
      <c r="W16" s="8"/>
    </row>
    <row r="17" spans="2:23" x14ac:dyDescent="0.35">
      <c r="L17" s="59"/>
      <c r="M17" s="59"/>
      <c r="N17" s="61">
        <f>SUM(N4:N14)</f>
        <v>1512.7497706425902</v>
      </c>
      <c r="O17" s="59"/>
      <c r="R17" s="124">
        <f>SUMIF(R4:R15,"&lt;0")</f>
        <v>0</v>
      </c>
      <c r="W17" s="3">
        <f>M17*$G$34</f>
        <v>0</v>
      </c>
    </row>
    <row r="18" spans="2:23" x14ac:dyDescent="0.35">
      <c r="B18" s="149" t="s">
        <v>21</v>
      </c>
      <c r="C18" s="149"/>
      <c r="D18" s="149"/>
      <c r="F18" s="98">
        <f>IF(($H$15/$D$15)&lt;$G$23,_xlfn.CEILING.MATH(($H$15/$D$15),1),$G$23)</f>
        <v>80</v>
      </c>
      <c r="G18" s="6">
        <f>(H15-G36)/D15</f>
        <v>78.97540983606558</v>
      </c>
      <c r="H18" s="6"/>
      <c r="L18" s="12"/>
      <c r="M18" s="12"/>
      <c r="N18" s="12"/>
      <c r="O18" s="12"/>
      <c r="P18" s="5"/>
      <c r="Q18" s="5"/>
      <c r="R18" s="5"/>
      <c r="U18" s="9"/>
      <c r="V18" s="9"/>
      <c r="W18" s="9"/>
    </row>
    <row r="19" spans="2:23" x14ac:dyDescent="0.35">
      <c r="L19" s="59"/>
      <c r="M19" s="59"/>
      <c r="N19" s="59"/>
      <c r="O19" s="59"/>
    </row>
    <row r="20" spans="2:23" x14ac:dyDescent="0.35">
      <c r="M20" s="12"/>
      <c r="N20" s="12"/>
      <c r="O20" s="12"/>
      <c r="V20" s="62" t="s">
        <v>75</v>
      </c>
      <c r="W20" s="63">
        <f>SUM(U4:Z15)</f>
        <v>6010731.0304883849</v>
      </c>
    </row>
    <row r="21" spans="2:23" x14ac:dyDescent="0.35">
      <c r="M21" s="59"/>
      <c r="N21" s="59"/>
      <c r="O21" s="59"/>
      <c r="V21" s="29" t="s">
        <v>58</v>
      </c>
      <c r="W21" s="64">
        <f>IF($R$15&gt;=0,($Q$15-$R$15)*$G$31,$Q$15*$G$31)</f>
        <v>15548000</v>
      </c>
    </row>
    <row r="22" spans="2:23" ht="14.5" thickBot="1" x14ac:dyDescent="0.4">
      <c r="M22" s="59"/>
      <c r="N22" s="59"/>
      <c r="O22" s="59"/>
      <c r="V22" s="30" t="s">
        <v>76</v>
      </c>
      <c r="W22" s="65">
        <f>W21-W20</f>
        <v>9537268.9695116151</v>
      </c>
    </row>
    <row r="23" spans="2:23" ht="14.5" thickBot="1" x14ac:dyDescent="0.4">
      <c r="B23" s="157" t="s">
        <v>15</v>
      </c>
      <c r="C23" s="158"/>
      <c r="D23" s="158"/>
      <c r="E23" s="158"/>
      <c r="F23" s="158"/>
      <c r="G23" s="48">
        <f>($G$51*$G$49)/$G$38</f>
        <v>84.009393822517083</v>
      </c>
      <c r="K23" s="171" t="s">
        <v>3</v>
      </c>
      <c r="L23" s="172"/>
      <c r="M23" s="52" t="s">
        <v>78</v>
      </c>
      <c r="N23" s="60"/>
      <c r="O23" s="60"/>
    </row>
    <row r="24" spans="2:23" x14ac:dyDescent="0.35">
      <c r="B24" s="159" t="s">
        <v>16</v>
      </c>
      <c r="C24" s="160"/>
      <c r="D24" s="160"/>
      <c r="E24" s="160"/>
      <c r="F24" s="161"/>
      <c r="G24" s="36">
        <v>250</v>
      </c>
      <c r="K24" s="42" t="s">
        <v>44</v>
      </c>
      <c r="L24" s="43">
        <v>0.15</v>
      </c>
      <c r="M24" s="53">
        <v>1</v>
      </c>
    </row>
    <row r="25" spans="2:23" x14ac:dyDescent="0.35">
      <c r="B25" s="155" t="s">
        <v>20</v>
      </c>
      <c r="C25" s="156"/>
      <c r="D25" s="156"/>
      <c r="E25" s="156"/>
      <c r="F25" s="156"/>
      <c r="G25" s="38">
        <f>((($G$52*$G$51)/$G$38)*(1-$G$53))/$G$23</f>
        <v>0.3</v>
      </c>
      <c r="K25" s="44" t="s">
        <v>45</v>
      </c>
      <c r="L25" s="45">
        <v>0.15</v>
      </c>
      <c r="M25" s="54">
        <v>1</v>
      </c>
    </row>
    <row r="26" spans="2:23" x14ac:dyDescent="0.35">
      <c r="B26" s="155" t="s">
        <v>14</v>
      </c>
      <c r="C26" s="156"/>
      <c r="D26" s="156"/>
      <c r="E26" s="156"/>
      <c r="F26" s="156"/>
      <c r="G26" s="36">
        <v>300</v>
      </c>
      <c r="K26" s="44" t="s">
        <v>46</v>
      </c>
      <c r="L26" s="45">
        <v>0.17499999999999999</v>
      </c>
      <c r="M26" s="54">
        <v>1</v>
      </c>
    </row>
    <row r="27" spans="2:23" x14ac:dyDescent="0.35">
      <c r="B27" s="155" t="s">
        <v>17</v>
      </c>
      <c r="C27" s="156"/>
      <c r="D27" s="156"/>
      <c r="E27" s="156"/>
      <c r="F27" s="156"/>
      <c r="G27" s="36">
        <v>70</v>
      </c>
      <c r="K27" s="44" t="s">
        <v>47</v>
      </c>
      <c r="L27" s="45">
        <v>0.17499999999999999</v>
      </c>
      <c r="M27" s="54">
        <v>1.5</v>
      </c>
    </row>
    <row r="28" spans="2:23" x14ac:dyDescent="0.35">
      <c r="B28" s="155" t="s">
        <v>18</v>
      </c>
      <c r="C28" s="156"/>
      <c r="D28" s="156"/>
      <c r="E28" s="156"/>
      <c r="F28" s="156"/>
      <c r="G28" s="36">
        <v>700</v>
      </c>
      <c r="K28" s="44" t="s">
        <v>48</v>
      </c>
      <c r="L28" s="45">
        <v>0.25</v>
      </c>
      <c r="M28" s="54">
        <v>1</v>
      </c>
    </row>
    <row r="29" spans="2:23" x14ac:dyDescent="0.35">
      <c r="B29" s="155" t="s">
        <v>19</v>
      </c>
      <c r="C29" s="156"/>
      <c r="D29" s="156"/>
      <c r="E29" s="156"/>
      <c r="F29" s="156"/>
      <c r="G29" s="36">
        <v>400</v>
      </c>
      <c r="K29" s="44" t="s">
        <v>49</v>
      </c>
      <c r="L29" s="45">
        <v>0.35</v>
      </c>
      <c r="M29" s="54">
        <v>1</v>
      </c>
    </row>
    <row r="30" spans="2:23" x14ac:dyDescent="0.35">
      <c r="B30" s="155" t="s">
        <v>68</v>
      </c>
      <c r="C30" s="156"/>
      <c r="D30" s="156"/>
      <c r="E30" s="156"/>
      <c r="F30" s="156"/>
      <c r="G30" s="36">
        <v>300</v>
      </c>
      <c r="K30" s="44" t="s">
        <v>50</v>
      </c>
      <c r="L30" s="45">
        <v>0.3</v>
      </c>
      <c r="M30" s="54">
        <v>1</v>
      </c>
    </row>
    <row r="31" spans="2:23" ht="14.5" thickBot="1" x14ac:dyDescent="0.4">
      <c r="B31" s="153" t="s">
        <v>56</v>
      </c>
      <c r="C31" s="154"/>
      <c r="D31" s="154"/>
      <c r="E31" s="154"/>
      <c r="F31" s="154"/>
      <c r="G31" s="95">
        <v>800</v>
      </c>
      <c r="K31" s="44" t="s">
        <v>51</v>
      </c>
      <c r="L31" s="45">
        <v>0.3</v>
      </c>
      <c r="M31" s="54">
        <v>1.5</v>
      </c>
    </row>
    <row r="32" spans="2:23" ht="14.5" thickBot="1" x14ac:dyDescent="0.4">
      <c r="K32" s="44" t="s">
        <v>52</v>
      </c>
      <c r="L32" s="45">
        <v>0.2</v>
      </c>
      <c r="M32" s="54">
        <v>1</v>
      </c>
    </row>
    <row r="33" spans="2:13" ht="14.5" thickBot="1" x14ac:dyDescent="0.4">
      <c r="B33" s="162" t="s">
        <v>91</v>
      </c>
      <c r="C33" s="163"/>
      <c r="D33" s="163"/>
      <c r="E33" s="163"/>
      <c r="F33" s="163"/>
      <c r="G33" s="164"/>
      <c r="K33" s="44" t="s">
        <v>53</v>
      </c>
      <c r="L33" s="45">
        <v>0.25</v>
      </c>
      <c r="M33" s="54">
        <v>1</v>
      </c>
    </row>
    <row r="34" spans="2:13" x14ac:dyDescent="0.35">
      <c r="B34" s="157" t="s">
        <v>69</v>
      </c>
      <c r="C34" s="158"/>
      <c r="D34" s="158"/>
      <c r="E34" s="158"/>
      <c r="F34" s="158"/>
      <c r="G34" s="96">
        <v>0.08</v>
      </c>
      <c r="I34" s="57"/>
      <c r="K34" s="44" t="s">
        <v>54</v>
      </c>
      <c r="L34" s="45">
        <v>0.25</v>
      </c>
      <c r="M34" s="54">
        <v>1</v>
      </c>
    </row>
    <row r="35" spans="2:13" ht="14.5" thickBot="1" x14ac:dyDescent="0.4">
      <c r="B35" s="155" t="s">
        <v>70</v>
      </c>
      <c r="C35" s="156"/>
      <c r="D35" s="156"/>
      <c r="E35" s="156"/>
      <c r="F35" s="156"/>
      <c r="G35" s="36">
        <v>4.4000000000000004</v>
      </c>
      <c r="I35" s="58"/>
      <c r="K35" s="46" t="s">
        <v>55</v>
      </c>
      <c r="L35" s="47">
        <v>0.15</v>
      </c>
      <c r="M35" s="55">
        <v>2</v>
      </c>
    </row>
    <row r="36" spans="2:13" x14ac:dyDescent="0.35">
      <c r="B36" s="155" t="s">
        <v>72</v>
      </c>
      <c r="C36" s="156"/>
      <c r="D36" s="156"/>
      <c r="E36" s="156"/>
      <c r="F36" s="156"/>
      <c r="G36" s="36">
        <v>165</v>
      </c>
    </row>
    <row r="37" spans="2:13" x14ac:dyDescent="0.35">
      <c r="B37" s="155" t="s">
        <v>71</v>
      </c>
      <c r="C37" s="156"/>
      <c r="D37" s="156"/>
      <c r="E37" s="156"/>
      <c r="F37" s="156"/>
      <c r="G37" s="37">
        <f>-(LN(1-$G$34)/LN(2))</f>
        <v>0.12029423371771177</v>
      </c>
    </row>
    <row r="38" spans="2:13" ht="14.5" thickBot="1" x14ac:dyDescent="0.4">
      <c r="B38" s="153" t="s">
        <v>77</v>
      </c>
      <c r="C38" s="154"/>
      <c r="D38" s="154"/>
      <c r="E38" s="154"/>
      <c r="F38" s="154"/>
      <c r="G38" s="148">
        <f>$G$35*($G$36)^-$G$37</f>
        <v>2.3806861459151953</v>
      </c>
    </row>
    <row r="39" spans="2:13" ht="14.5" thickBot="1" x14ac:dyDescent="0.4"/>
    <row r="40" spans="2:13" ht="14.5" thickBot="1" x14ac:dyDescent="0.4">
      <c r="B40" s="165" t="s">
        <v>93</v>
      </c>
      <c r="C40" s="166"/>
      <c r="D40" s="166"/>
      <c r="E40" s="166"/>
      <c r="F40" s="166"/>
      <c r="G40" s="167"/>
    </row>
    <row r="41" spans="2:13" ht="14.5" thickBot="1" x14ac:dyDescent="0.4">
      <c r="B41" s="157" t="s">
        <v>103</v>
      </c>
      <c r="C41" s="158"/>
      <c r="D41" s="158"/>
      <c r="E41" s="158"/>
      <c r="F41" s="158"/>
      <c r="G41" s="97">
        <v>0.15</v>
      </c>
      <c r="H41" s="40">
        <v>1000</v>
      </c>
      <c r="I41" s="41">
        <v>1700</v>
      </c>
    </row>
    <row r="42" spans="2:13" ht="14.5" thickBot="1" x14ac:dyDescent="0.4">
      <c r="B42" s="153" t="s">
        <v>104</v>
      </c>
      <c r="C42" s="154"/>
      <c r="D42" s="154"/>
      <c r="E42" s="154"/>
      <c r="F42" s="154"/>
      <c r="G42" s="39">
        <v>0.2</v>
      </c>
    </row>
    <row r="43" spans="2:13" ht="14.5" thickBot="1" x14ac:dyDescent="0.4"/>
    <row r="44" spans="2:13" ht="14.5" thickBot="1" x14ac:dyDescent="0.4">
      <c r="B44" s="168" t="s">
        <v>90</v>
      </c>
      <c r="C44" s="169"/>
      <c r="D44" s="169"/>
      <c r="E44" s="169"/>
      <c r="F44" s="169"/>
      <c r="G44" s="170"/>
    </row>
    <row r="45" spans="2:13" x14ac:dyDescent="0.35">
      <c r="B45" s="157" t="s">
        <v>61</v>
      </c>
      <c r="C45" s="158"/>
      <c r="D45" s="158"/>
      <c r="E45" s="158"/>
      <c r="F45" s="158"/>
      <c r="G45" s="94">
        <v>10000</v>
      </c>
    </row>
    <row r="46" spans="2:13" ht="14.5" thickBot="1" x14ac:dyDescent="0.4">
      <c r="B46" s="153" t="s">
        <v>62</v>
      </c>
      <c r="C46" s="154"/>
      <c r="D46" s="154"/>
      <c r="E46" s="154"/>
      <c r="F46" s="154"/>
      <c r="G46" s="95">
        <v>1700</v>
      </c>
    </row>
    <row r="47" spans="2:13" ht="14.5" thickBot="1" x14ac:dyDescent="0.4"/>
    <row r="48" spans="2:13" ht="14.5" thickBot="1" x14ac:dyDescent="0.4">
      <c r="B48" s="173" t="s">
        <v>92</v>
      </c>
      <c r="C48" s="174"/>
      <c r="D48" s="174"/>
      <c r="E48" s="174"/>
      <c r="F48" s="174"/>
      <c r="G48" s="175"/>
    </row>
    <row r="49" spans="2:7" x14ac:dyDescent="0.35">
      <c r="B49" s="157" t="s">
        <v>73</v>
      </c>
      <c r="C49" s="158"/>
      <c r="D49" s="158"/>
      <c r="E49" s="158"/>
      <c r="F49" s="158"/>
      <c r="G49" s="94">
        <v>8</v>
      </c>
    </row>
    <row r="50" spans="2:7" x14ac:dyDescent="0.35">
      <c r="B50" s="155" t="s">
        <v>65</v>
      </c>
      <c r="C50" s="156"/>
      <c r="D50" s="156"/>
      <c r="E50" s="156"/>
      <c r="F50" s="156"/>
      <c r="G50" s="36">
        <v>8</v>
      </c>
    </row>
    <row r="51" spans="2:7" x14ac:dyDescent="0.35">
      <c r="B51" s="155" t="s">
        <v>66</v>
      </c>
      <c r="C51" s="156"/>
      <c r="D51" s="156"/>
      <c r="E51" s="156"/>
      <c r="F51" s="156"/>
      <c r="G51" s="36">
        <v>25</v>
      </c>
    </row>
    <row r="52" spans="2:7" x14ac:dyDescent="0.35">
      <c r="B52" s="159" t="s">
        <v>79</v>
      </c>
      <c r="C52" s="160"/>
      <c r="D52" s="160"/>
      <c r="E52" s="160"/>
      <c r="F52" s="161"/>
      <c r="G52" s="56">
        <v>4</v>
      </c>
    </row>
    <row r="53" spans="2:7" ht="14.5" thickBot="1" x14ac:dyDescent="0.4">
      <c r="B53" s="176" t="s">
        <v>81</v>
      </c>
      <c r="C53" s="177"/>
      <c r="D53" s="177"/>
      <c r="E53" s="177"/>
      <c r="F53" s="178"/>
      <c r="G53" s="39">
        <v>0.4</v>
      </c>
    </row>
  </sheetData>
  <mergeCells count="29">
    <mergeCell ref="B53:F53"/>
    <mergeCell ref="B49:F49"/>
    <mergeCell ref="B50:F50"/>
    <mergeCell ref="B51:F51"/>
    <mergeCell ref="K23:L23"/>
    <mergeCell ref="B37:F37"/>
    <mergeCell ref="B38:F38"/>
    <mergeCell ref="B44:G44"/>
    <mergeCell ref="B48:G48"/>
    <mergeCell ref="B40:G40"/>
    <mergeCell ref="B33:G33"/>
    <mergeCell ref="B52:F52"/>
    <mergeCell ref="B24:F24"/>
    <mergeCell ref="B18:D18"/>
    <mergeCell ref="B31:F31"/>
    <mergeCell ref="B45:F45"/>
    <mergeCell ref="B46:F46"/>
    <mergeCell ref="B30:F30"/>
    <mergeCell ref="B41:F41"/>
    <mergeCell ref="B42:F42"/>
    <mergeCell ref="B25:F25"/>
    <mergeCell ref="B26:F26"/>
    <mergeCell ref="B27:F27"/>
    <mergeCell ref="B28:F28"/>
    <mergeCell ref="B29:F29"/>
    <mergeCell ref="B23:F23"/>
    <mergeCell ref="B34:F34"/>
    <mergeCell ref="B35:F35"/>
    <mergeCell ref="B36:F3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42B8-0F3A-A449-87FA-57005875D548}">
  <dimension ref="A4:D18"/>
  <sheetViews>
    <sheetView topLeftCell="A4" zoomScale="80" zoomScaleNormal="80" workbookViewId="0">
      <selection activeCell="S34" sqref="S34"/>
    </sheetView>
  </sheetViews>
  <sheetFormatPr defaultColWidth="11.453125" defaultRowHeight="14.5" x14ac:dyDescent="0.35"/>
  <cols>
    <col min="2" max="2" width="13.6328125" customWidth="1"/>
    <col min="3" max="3" width="14.36328125" customWidth="1"/>
    <col min="4" max="4" width="11.6328125" customWidth="1"/>
  </cols>
  <sheetData>
    <row r="4" spans="1:4" ht="15" thickBot="1" x14ac:dyDescent="0.4"/>
    <row r="5" spans="1:4" ht="15" thickBot="1" x14ac:dyDescent="0.4">
      <c r="B5" s="179" t="s">
        <v>94</v>
      </c>
      <c r="C5" s="180"/>
      <c r="D5" s="181"/>
    </row>
    <row r="6" spans="1:4" ht="15" thickBot="1" x14ac:dyDescent="0.4">
      <c r="B6" s="125" t="s">
        <v>87</v>
      </c>
      <c r="C6" s="125" t="s">
        <v>88</v>
      </c>
      <c r="D6" s="125" t="s">
        <v>89</v>
      </c>
    </row>
    <row r="7" spans="1:4" x14ac:dyDescent="0.35">
      <c r="A7" s="135" t="s">
        <v>44</v>
      </c>
      <c r="B7" s="132">
        <f>'Σταθερή παραγωγή στο ΜΟ'!Q4</f>
        <v>537400</v>
      </c>
      <c r="C7" s="127">
        <f>'Σταθερή Παραγωγή στο Μέγιστο'!V4</f>
        <v>564680</v>
      </c>
      <c r="D7" s="128">
        <f>'Παραγωγή με Υπερωρίες'!AA4</f>
        <v>564744.06586956652</v>
      </c>
    </row>
    <row r="8" spans="1:4" x14ac:dyDescent="0.35">
      <c r="A8" s="136" t="s">
        <v>45</v>
      </c>
      <c r="B8" s="133">
        <f>'Σταθερή παραγωγή στο ΜΟ'!Q5</f>
        <v>343850</v>
      </c>
      <c r="C8" s="126">
        <f>'Σταθερή Παραγωγή στο Μέγιστο'!V5</f>
        <v>364810</v>
      </c>
      <c r="D8" s="129">
        <f>'Παραγωγή με Υπερωρίες'!AA5</f>
        <v>364859.22362998954</v>
      </c>
    </row>
    <row r="9" spans="1:4" x14ac:dyDescent="0.35">
      <c r="A9" s="137" t="s">
        <v>46</v>
      </c>
      <c r="B9" s="133">
        <f>'Σταθερή παραγωγή στο ΜΟ'!Q6</f>
        <v>613700</v>
      </c>
      <c r="C9" s="126">
        <f>'Σταθερή Παραγωγή στο Μέγιστο'!V6</f>
        <v>651180</v>
      </c>
      <c r="D9" s="129">
        <f>'Παραγωγή με Υπερωρίες'!AA6</f>
        <v>517133.83733833453</v>
      </c>
    </row>
    <row r="10" spans="1:4" x14ac:dyDescent="0.35">
      <c r="A10" s="136" t="s">
        <v>47</v>
      </c>
      <c r="B10" s="133">
        <f>'Σταθερή παραγωγή στο ΜΟ'!Q7</f>
        <v>548000</v>
      </c>
      <c r="C10" s="126">
        <f>'Σταθερή Παραγωγή στο Μέγιστο'!V7</f>
        <v>598100</v>
      </c>
      <c r="D10" s="129">
        <f>'Παραγωγή με Υπερωρίες'!AA7</f>
        <v>585630.19182935264</v>
      </c>
    </row>
    <row r="11" spans="1:4" x14ac:dyDescent="0.35">
      <c r="A11" s="137" t="s">
        <v>48</v>
      </c>
      <c r="B11" s="133">
        <f>'Σταθερή παραγωγή στο ΜΟ'!Q8</f>
        <v>522700</v>
      </c>
      <c r="C11" s="126">
        <f>'Σταθερή Παραγωγή στο Μέγιστο'!V8</f>
        <v>570700</v>
      </c>
      <c r="D11" s="129">
        <f>'Παραγωγή με Υπερωρίες'!AA8</f>
        <v>718564.38956770394</v>
      </c>
    </row>
    <row r="12" spans="1:4" x14ac:dyDescent="0.35">
      <c r="A12" s="136" t="s">
        <v>49</v>
      </c>
      <c r="B12" s="133">
        <f>'Σταθερή παραγωγή στο ΜΟ'!Q9</f>
        <v>835600</v>
      </c>
      <c r="C12" s="126">
        <f>'Σταθερή Παραγωγή στο Μέγιστο'!V9</f>
        <v>526320</v>
      </c>
      <c r="D12" s="129">
        <f>'Παραγωγή με Υπερωρίες'!AA9</f>
        <v>660651.19600038324</v>
      </c>
    </row>
    <row r="13" spans="1:4" x14ac:dyDescent="0.35">
      <c r="A13" s="137" t="s">
        <v>50</v>
      </c>
      <c r="B13" s="133">
        <f>'Σταθερή παραγωγή στο ΜΟ'!Q10</f>
        <v>1469000</v>
      </c>
      <c r="C13" s="126">
        <f>'Σταθερή Παραγωγή στο Μέγιστο'!V10</f>
        <v>1103000</v>
      </c>
      <c r="D13" s="129">
        <f>'Παραγωγή με Υπερωρίες'!AA10</f>
        <v>605525.19279593369</v>
      </c>
    </row>
    <row r="14" spans="1:4" x14ac:dyDescent="0.35">
      <c r="A14" s="136" t="s">
        <v>51</v>
      </c>
      <c r="B14" s="133">
        <f>'Σταθερή παραγωγή στο ΜΟ'!Q11</f>
        <v>853800</v>
      </c>
      <c r="C14" s="126">
        <f>'Σταθερή Παραγωγή στο Μέγιστο'!V11</f>
        <v>528260</v>
      </c>
      <c r="D14" s="129">
        <f>'Παραγωγή με Υπερωρίες'!AA11</f>
        <v>356562.60327024071</v>
      </c>
    </row>
    <row r="15" spans="1:4" x14ac:dyDescent="0.35">
      <c r="A15" s="137" t="s">
        <v>52</v>
      </c>
      <c r="B15" s="133">
        <f>'Σταθερή παραγωγή στο ΜΟ'!Q12</f>
        <v>504000</v>
      </c>
      <c r="C15" s="126">
        <f>'Σταθερή Παραγωγή στο Μέγιστο'!V12</f>
        <v>549920</v>
      </c>
      <c r="D15" s="129">
        <f>'Παραγωγή με Υπερωρίες'!AA12</f>
        <v>228110.39853626495</v>
      </c>
    </row>
    <row r="16" spans="1:4" x14ac:dyDescent="0.35">
      <c r="A16" s="136" t="s">
        <v>53</v>
      </c>
      <c r="B16" s="133">
        <f>'Σταθερή παραγωγή στο ΜΟ'!Q13</f>
        <v>476500</v>
      </c>
      <c r="C16" s="126">
        <f>'Σταθερή Παραγωγή στο Μέγιστο'!V13</f>
        <v>554740</v>
      </c>
      <c r="D16" s="129">
        <f>'Παραγωγή με Υπερωρίες'!AA13</f>
        <v>581027.74159823114</v>
      </c>
    </row>
    <row r="17" spans="1:4" x14ac:dyDescent="0.35">
      <c r="A17" s="137" t="s">
        <v>54</v>
      </c>
      <c r="B17" s="133">
        <f>'Σταθερή παραγωγή στο ΜΟ'!Q14</f>
        <v>909100</v>
      </c>
      <c r="C17" s="126">
        <f>'Σταθερή Παραγωγή στο Μέγιστο'!V14</f>
        <v>496850</v>
      </c>
      <c r="D17" s="129">
        <f>'Παραγωγή με Υπερωρίες'!AA14</f>
        <v>617385.0991900434</v>
      </c>
    </row>
    <row r="18" spans="1:4" ht="15" thickBot="1" x14ac:dyDescent="0.4">
      <c r="A18" s="138" t="s">
        <v>55</v>
      </c>
      <c r="B18" s="134">
        <f>'Σταθερή παραγωγή στο ΜΟ'!Q15</f>
        <v>451750</v>
      </c>
      <c r="C18" s="130">
        <f>'Σταθερή Παραγωγή στο Μέγιστο'!V15</f>
        <v>538430</v>
      </c>
      <c r="D18" s="131">
        <f>'Παραγωγή με Υπερωρίες'!AA15</f>
        <v>210537.09086234018</v>
      </c>
    </row>
  </sheetData>
  <mergeCells count="1">
    <mergeCell ref="B5:D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01B8-AF7D-2B4D-861C-B5F28F3CE7C3}">
  <dimension ref="B2:W54"/>
  <sheetViews>
    <sheetView zoomScale="40" zoomScaleNormal="40" workbookViewId="0">
      <selection activeCell="G36" sqref="G36"/>
    </sheetView>
  </sheetViews>
  <sheetFormatPr defaultColWidth="13.36328125" defaultRowHeight="14" x14ac:dyDescent="0.35"/>
  <cols>
    <col min="1" max="1" width="3.36328125" style="3" customWidth="1"/>
    <col min="2" max="2" width="8.453125" style="3" customWidth="1"/>
    <col min="3" max="4" width="13.36328125" style="3"/>
    <col min="5" max="5" width="7.81640625" style="3" bestFit="1" customWidth="1"/>
    <col min="6" max="6" width="10.81640625" style="3" bestFit="1" customWidth="1"/>
    <col min="7" max="7" width="12.81640625" style="3" bestFit="1" customWidth="1"/>
    <col min="8" max="8" width="11.81640625" style="3" bestFit="1" customWidth="1"/>
    <col min="9" max="9" width="15.36328125" style="3" customWidth="1"/>
    <col min="10" max="10" width="12.1796875" style="3" customWidth="1"/>
    <col min="11" max="11" width="15" style="3" customWidth="1"/>
    <col min="12" max="12" width="13.36328125" style="3"/>
    <col min="13" max="13" width="10.1796875" style="3" bestFit="1" customWidth="1"/>
    <col min="14" max="14" width="11" style="3" bestFit="1" customWidth="1"/>
    <col min="15" max="15" width="10.453125" style="3" bestFit="1" customWidth="1"/>
    <col min="16" max="16" width="17.453125" style="3" bestFit="1" customWidth="1"/>
    <col min="17" max="17" width="21.453125" style="3" bestFit="1" customWidth="1"/>
    <col min="18" max="18" width="16.6328125" style="3" customWidth="1"/>
    <col min="19" max="19" width="15.6328125" style="3" customWidth="1"/>
    <col min="20" max="20" width="21.453125" style="3" bestFit="1" customWidth="1"/>
    <col min="21" max="21" width="14.6328125" style="3" customWidth="1"/>
    <col min="22" max="22" width="16.453125" style="3" customWidth="1"/>
    <col min="23" max="23" width="15.36328125" style="3" customWidth="1"/>
    <col min="24" max="16384" width="13.36328125" style="3"/>
  </cols>
  <sheetData>
    <row r="2" spans="2:21" ht="42" x14ac:dyDescent="0.35">
      <c r="B2" s="111" t="s">
        <v>0</v>
      </c>
      <c r="C2" s="111" t="s">
        <v>6</v>
      </c>
      <c r="D2" s="111" t="s">
        <v>7</v>
      </c>
      <c r="E2" s="111" t="s">
        <v>1</v>
      </c>
      <c r="F2" s="111" t="s">
        <v>2</v>
      </c>
      <c r="G2" s="111" t="s">
        <v>3</v>
      </c>
      <c r="H2" s="111" t="s">
        <v>4</v>
      </c>
      <c r="I2" s="111" t="s">
        <v>5</v>
      </c>
      <c r="J2" s="111" t="s">
        <v>22</v>
      </c>
      <c r="K2" s="111" t="s">
        <v>23</v>
      </c>
      <c r="L2" s="111" t="s">
        <v>64</v>
      </c>
      <c r="M2" s="111" t="s">
        <v>28</v>
      </c>
      <c r="N2" s="111" t="s">
        <v>22</v>
      </c>
      <c r="O2" s="111" t="s">
        <v>23</v>
      </c>
      <c r="P2" s="111" t="s">
        <v>64</v>
      </c>
      <c r="Q2" s="111" t="s">
        <v>27</v>
      </c>
      <c r="R2" s="111" t="s">
        <v>60</v>
      </c>
      <c r="S2" s="111" t="s">
        <v>63</v>
      </c>
      <c r="T2" s="111" t="s">
        <v>67</v>
      </c>
      <c r="U2" s="111"/>
    </row>
    <row r="3" spans="2:21" x14ac:dyDescent="0.35">
      <c r="B3" s="1" t="s">
        <v>8</v>
      </c>
      <c r="C3" s="1" t="s">
        <v>9</v>
      </c>
      <c r="D3" s="1" t="s">
        <v>13</v>
      </c>
      <c r="E3" s="1" t="s">
        <v>10</v>
      </c>
      <c r="F3" s="1" t="s">
        <v>12</v>
      </c>
      <c r="G3" s="1" t="s">
        <v>74</v>
      </c>
      <c r="H3" s="1" t="s">
        <v>11</v>
      </c>
      <c r="I3" s="1" t="s">
        <v>29</v>
      </c>
      <c r="J3" s="1" t="s">
        <v>24</v>
      </c>
      <c r="K3" s="7" t="s">
        <v>25</v>
      </c>
      <c r="L3" s="7" t="s">
        <v>26</v>
      </c>
    </row>
    <row r="4" spans="2:21" x14ac:dyDescent="0.35">
      <c r="B4" s="16" t="s">
        <v>44</v>
      </c>
      <c r="C4" s="22">
        <v>22</v>
      </c>
      <c r="D4" s="16">
        <f>C4</f>
        <v>22</v>
      </c>
      <c r="E4" s="23">
        <v>800</v>
      </c>
      <c r="F4" s="17">
        <f>E4</f>
        <v>800</v>
      </c>
      <c r="G4" s="16">
        <f t="shared" ref="G4:G15" si="0">_xlfn.FLOOR.MATH((VLOOKUP(B4,$J$21:$K$33,2,FALSE)*E4),1)</f>
        <v>120</v>
      </c>
      <c r="H4" s="17">
        <f>F4+G4</f>
        <v>920</v>
      </c>
      <c r="I4" s="18">
        <f>E4/C4</f>
        <v>36.363636363636367</v>
      </c>
      <c r="J4" s="4">
        <f>C4*$F$17</f>
        <v>1760</v>
      </c>
      <c r="K4" s="4">
        <f>J4+$G$23</f>
        <v>2060</v>
      </c>
      <c r="L4" s="10">
        <f>K4-H4</f>
        <v>1140</v>
      </c>
      <c r="M4" s="19">
        <f t="shared" ref="M4:M15" si="1">IF(L4&gt;0,,ABS(L4/D4))</f>
        <v>0</v>
      </c>
      <c r="N4" s="6">
        <f t="shared" ref="N4:N15" si="2">_xlfn.FLOOR.MATH(C4*$H$17,1)</f>
        <v>1848</v>
      </c>
      <c r="O4" s="6">
        <f>N4+$G$23</f>
        <v>2148</v>
      </c>
      <c r="P4" s="10">
        <f t="shared" ref="P4:P15" si="3">O4-H4</f>
        <v>1228</v>
      </c>
      <c r="Q4" s="8">
        <f t="shared" ref="Q4:Q15" si="4">IF(P4&gt;0,P4*$G$24,ABS(P4*$G$25))</f>
        <v>85960</v>
      </c>
      <c r="R4" s="20" cm="1">
        <f t="array" ref="R4">_xlfn.IFS(N4&lt;$H$38,N4*$G$27,AND(N4&gt;=$H$38,N4&lt;=$I$38),N4*$G$27*(1-$G$38),N4&gt;$I$38,N4*$G$27*(1-$G$39))</f>
        <v>443520</v>
      </c>
      <c r="S4" s="20">
        <f t="shared" ref="S4:S15" si="5">IF(P4&lt;$G$43,,$G$42)</f>
        <v>0</v>
      </c>
      <c r="T4" s="20">
        <f t="shared" ref="T4:T15" si="6">C4*$G$48*$G$47*$G$46*VLOOKUP(B4,$J$22:$L$33,3,FALSE)</f>
        <v>35200</v>
      </c>
    </row>
    <row r="5" spans="2:21" x14ac:dyDescent="0.35">
      <c r="B5" s="13" t="s">
        <v>45</v>
      </c>
      <c r="C5" s="22">
        <v>10</v>
      </c>
      <c r="D5" s="16">
        <f>D4+C5</f>
        <v>32</v>
      </c>
      <c r="E5" s="23">
        <v>700</v>
      </c>
      <c r="F5" s="17">
        <f>F4+E5</f>
        <v>1500</v>
      </c>
      <c r="G5" s="16">
        <f t="shared" si="0"/>
        <v>105</v>
      </c>
      <c r="H5" s="17">
        <f t="shared" ref="H5:H15" si="7">F5+G5</f>
        <v>1605</v>
      </c>
      <c r="I5" s="18">
        <f t="shared" ref="I5:I15" si="8">E5/C5</f>
        <v>70</v>
      </c>
      <c r="J5" s="4">
        <f t="shared" ref="J5:J15" si="9">C5*$F$17</f>
        <v>800</v>
      </c>
      <c r="K5" s="4">
        <f>J5+K4</f>
        <v>2860</v>
      </c>
      <c r="L5" s="10">
        <f t="shared" ref="L5:L15" si="10">K5-H5</f>
        <v>1255</v>
      </c>
      <c r="M5" s="19">
        <f t="shared" si="1"/>
        <v>0</v>
      </c>
      <c r="N5" s="6">
        <f t="shared" si="2"/>
        <v>840</v>
      </c>
      <c r="O5" s="6">
        <f>O4+N5</f>
        <v>2988</v>
      </c>
      <c r="P5" s="10">
        <f t="shared" si="3"/>
        <v>1383</v>
      </c>
      <c r="Q5" s="8">
        <f t="shared" si="4"/>
        <v>96810</v>
      </c>
      <c r="R5" s="20" cm="1">
        <f t="array" ref="R5">_xlfn.IFS(N5&lt;$H$38,N5*$G$27,AND(N5&gt;=$H$38,N5&lt;=$I$38),N5*$G$27*(1-$G$38),N5&gt;$I$38,N5*$G$27*(1-$G$39))</f>
        <v>252000</v>
      </c>
      <c r="S5" s="20">
        <f t="shared" si="5"/>
        <v>0</v>
      </c>
      <c r="T5" s="20">
        <f t="shared" si="6"/>
        <v>16000</v>
      </c>
    </row>
    <row r="6" spans="2:21" x14ac:dyDescent="0.35">
      <c r="B6" s="16" t="s">
        <v>46</v>
      </c>
      <c r="C6" s="22">
        <v>23</v>
      </c>
      <c r="D6" s="16">
        <f t="shared" ref="D6:D15" si="11">D5+C6</f>
        <v>55</v>
      </c>
      <c r="E6" s="23">
        <v>1200</v>
      </c>
      <c r="F6" s="17">
        <f t="shared" ref="F6:F15" si="12">F5+E6</f>
        <v>2700</v>
      </c>
      <c r="G6" s="16">
        <f t="shared" si="0"/>
        <v>210</v>
      </c>
      <c r="H6" s="17">
        <f t="shared" si="7"/>
        <v>2910</v>
      </c>
      <c r="I6" s="18">
        <f t="shared" si="8"/>
        <v>52.173913043478258</v>
      </c>
      <c r="J6" s="4">
        <f t="shared" si="9"/>
        <v>1840</v>
      </c>
      <c r="K6" s="4">
        <f t="shared" ref="K6:K15" si="13">J6+K5</f>
        <v>4700</v>
      </c>
      <c r="L6" s="10">
        <f t="shared" si="10"/>
        <v>1790</v>
      </c>
      <c r="M6" s="19">
        <f t="shared" si="1"/>
        <v>0</v>
      </c>
      <c r="N6" s="6">
        <f t="shared" si="2"/>
        <v>1932</v>
      </c>
      <c r="O6" s="6">
        <f t="shared" ref="O6:O15" si="14">O5+N6</f>
        <v>4920</v>
      </c>
      <c r="P6" s="10">
        <f t="shared" si="3"/>
        <v>2010</v>
      </c>
      <c r="Q6" s="8">
        <f t="shared" si="4"/>
        <v>140700</v>
      </c>
      <c r="R6" s="20" cm="1">
        <f t="array" ref="R6">_xlfn.IFS(N6&lt;$H$38,N6*$G$27,AND(N6&gt;=$H$38,N6&lt;=$I$38),N6*$G$27*(1-$G$38),N6&gt;$I$38,N6*$G$27*(1-$G$39))</f>
        <v>463680</v>
      </c>
      <c r="S6" s="20">
        <f t="shared" si="5"/>
        <v>10000</v>
      </c>
      <c r="T6" s="20">
        <f t="shared" si="6"/>
        <v>36800</v>
      </c>
    </row>
    <row r="7" spans="2:21" x14ac:dyDescent="0.35">
      <c r="B7" s="13" t="s">
        <v>47</v>
      </c>
      <c r="C7" s="22">
        <v>19</v>
      </c>
      <c r="D7" s="16">
        <f t="shared" si="11"/>
        <v>74</v>
      </c>
      <c r="E7" s="23">
        <v>1600</v>
      </c>
      <c r="F7" s="17">
        <f t="shared" si="12"/>
        <v>4300</v>
      </c>
      <c r="G7" s="16">
        <f t="shared" si="0"/>
        <v>280</v>
      </c>
      <c r="H7" s="17">
        <f t="shared" si="7"/>
        <v>4580</v>
      </c>
      <c r="I7" s="18">
        <f t="shared" si="8"/>
        <v>84.21052631578948</v>
      </c>
      <c r="J7" s="4">
        <f t="shared" si="9"/>
        <v>1520</v>
      </c>
      <c r="K7" s="4">
        <f t="shared" si="13"/>
        <v>6220</v>
      </c>
      <c r="L7" s="10">
        <f t="shared" si="10"/>
        <v>1640</v>
      </c>
      <c r="M7" s="19">
        <f t="shared" si="1"/>
        <v>0</v>
      </c>
      <c r="N7" s="6">
        <f t="shared" si="2"/>
        <v>1596</v>
      </c>
      <c r="O7" s="6">
        <f t="shared" si="14"/>
        <v>6516</v>
      </c>
      <c r="P7" s="10">
        <f t="shared" si="3"/>
        <v>1936</v>
      </c>
      <c r="Q7" s="8">
        <f t="shared" si="4"/>
        <v>135520</v>
      </c>
      <c r="R7" s="20" cm="1">
        <f t="array" ref="R7">_xlfn.IFS(N7&lt;$H$38,N7*$G$27,AND(N7&gt;=$H$38,N7&lt;=$I$38),N7*$G$27*(1-$G$38),N7&gt;$I$38,N7*$G$27*(1-$G$39))</f>
        <v>406980</v>
      </c>
      <c r="S7" s="20">
        <f t="shared" si="5"/>
        <v>10000</v>
      </c>
      <c r="T7" s="20">
        <f t="shared" si="6"/>
        <v>45600</v>
      </c>
    </row>
    <row r="8" spans="2:21" x14ac:dyDescent="0.35">
      <c r="B8" s="16" t="s">
        <v>48</v>
      </c>
      <c r="C8" s="22">
        <v>22</v>
      </c>
      <c r="D8" s="16">
        <f t="shared" si="11"/>
        <v>96</v>
      </c>
      <c r="E8" s="23">
        <v>2200</v>
      </c>
      <c r="F8" s="17">
        <f t="shared" si="12"/>
        <v>6500</v>
      </c>
      <c r="G8" s="16">
        <f t="shared" si="0"/>
        <v>550</v>
      </c>
      <c r="H8" s="17">
        <f t="shared" si="7"/>
        <v>7050</v>
      </c>
      <c r="I8" s="18">
        <f t="shared" si="8"/>
        <v>100</v>
      </c>
      <c r="J8" s="4">
        <f t="shared" si="9"/>
        <v>1760</v>
      </c>
      <c r="K8" s="4">
        <f t="shared" si="13"/>
        <v>7980</v>
      </c>
      <c r="L8" s="10">
        <f t="shared" si="10"/>
        <v>930</v>
      </c>
      <c r="M8" s="19">
        <f t="shared" si="1"/>
        <v>0</v>
      </c>
      <c r="N8" s="6">
        <f t="shared" si="2"/>
        <v>1848</v>
      </c>
      <c r="O8" s="6">
        <f t="shared" si="14"/>
        <v>8364</v>
      </c>
      <c r="P8" s="10">
        <f t="shared" si="3"/>
        <v>1314</v>
      </c>
      <c r="Q8" s="8">
        <f t="shared" si="4"/>
        <v>91980</v>
      </c>
      <c r="R8" s="20" cm="1">
        <f t="array" ref="R8">_xlfn.IFS(N8&lt;$H$38,N8*$G$27,AND(N8&gt;=$H$38,N8&lt;=$I$38),N8*$G$27*(1-$G$38),N8&gt;$I$38,N8*$G$27*(1-$G$39))</f>
        <v>443520</v>
      </c>
      <c r="S8" s="20">
        <f t="shared" si="5"/>
        <v>0</v>
      </c>
      <c r="T8" s="20">
        <f t="shared" si="6"/>
        <v>35200</v>
      </c>
    </row>
    <row r="9" spans="2:21" x14ac:dyDescent="0.35">
      <c r="B9" s="13" t="s">
        <v>49</v>
      </c>
      <c r="C9" s="22">
        <v>22</v>
      </c>
      <c r="D9" s="16">
        <f t="shared" si="11"/>
        <v>118</v>
      </c>
      <c r="E9" s="23">
        <v>2800</v>
      </c>
      <c r="F9" s="17">
        <f t="shared" si="12"/>
        <v>9300</v>
      </c>
      <c r="G9" s="16">
        <f t="shared" si="0"/>
        <v>980</v>
      </c>
      <c r="H9" s="17">
        <f t="shared" si="7"/>
        <v>10280</v>
      </c>
      <c r="I9" s="18">
        <f t="shared" si="8"/>
        <v>127.27272727272727</v>
      </c>
      <c r="J9" s="4">
        <f t="shared" si="9"/>
        <v>1760</v>
      </c>
      <c r="K9" s="4">
        <f t="shared" si="13"/>
        <v>9740</v>
      </c>
      <c r="L9" s="10">
        <f t="shared" si="10"/>
        <v>-540</v>
      </c>
      <c r="M9" s="19">
        <f t="shared" si="1"/>
        <v>4.5762711864406782</v>
      </c>
      <c r="N9" s="6">
        <f t="shared" si="2"/>
        <v>1848</v>
      </c>
      <c r="O9" s="6">
        <f t="shared" si="14"/>
        <v>10212</v>
      </c>
      <c r="P9" s="10">
        <f t="shared" si="3"/>
        <v>-68</v>
      </c>
      <c r="Q9" s="8">
        <f t="shared" si="4"/>
        <v>47600</v>
      </c>
      <c r="R9" s="20" cm="1">
        <f t="array" ref="R9">_xlfn.IFS(N9&lt;$H$38,N9*$G$27,AND(N9&gt;=$H$38,N9&lt;=$I$38),N9*$G$27*(1-$G$38),N9&gt;$I$38,N9*$G$27*(1-$G$39))</f>
        <v>443520</v>
      </c>
      <c r="S9" s="20">
        <f t="shared" si="5"/>
        <v>0</v>
      </c>
      <c r="T9" s="20">
        <f t="shared" si="6"/>
        <v>35200</v>
      </c>
    </row>
    <row r="10" spans="2:21" x14ac:dyDescent="0.35">
      <c r="B10" s="16" t="s">
        <v>50</v>
      </c>
      <c r="C10" s="22">
        <v>20</v>
      </c>
      <c r="D10" s="16">
        <f t="shared" si="11"/>
        <v>138</v>
      </c>
      <c r="E10" s="23">
        <v>2700</v>
      </c>
      <c r="F10" s="17">
        <f t="shared" si="12"/>
        <v>12000</v>
      </c>
      <c r="G10" s="16">
        <f t="shared" si="0"/>
        <v>810</v>
      </c>
      <c r="H10" s="17">
        <f t="shared" si="7"/>
        <v>12810</v>
      </c>
      <c r="I10" s="18">
        <f t="shared" si="8"/>
        <v>135</v>
      </c>
      <c r="J10" s="4">
        <f t="shared" si="9"/>
        <v>1600</v>
      </c>
      <c r="K10" s="4">
        <f t="shared" si="13"/>
        <v>11340</v>
      </c>
      <c r="L10" s="10">
        <f t="shared" si="10"/>
        <v>-1470</v>
      </c>
      <c r="M10" s="19">
        <f t="shared" si="1"/>
        <v>10.652173913043478</v>
      </c>
      <c r="N10" s="6">
        <f t="shared" si="2"/>
        <v>1680</v>
      </c>
      <c r="O10" s="6">
        <f t="shared" si="14"/>
        <v>11892</v>
      </c>
      <c r="P10" s="10">
        <f t="shared" si="3"/>
        <v>-918</v>
      </c>
      <c r="Q10" s="8">
        <f t="shared" si="4"/>
        <v>642600</v>
      </c>
      <c r="R10" s="20" cm="1">
        <f t="array" ref="R10">_xlfn.IFS(N10&lt;$H$38,N10*$G$27,AND(N10&gt;=$H$38,N10&lt;=$I$38),N10*$G$27*(1-$G$38),N10&gt;$I$38,N10*$G$27*(1-$G$39))</f>
        <v>428400</v>
      </c>
      <c r="S10" s="20">
        <f t="shared" si="5"/>
        <v>0</v>
      </c>
      <c r="T10" s="20">
        <f t="shared" si="6"/>
        <v>32000</v>
      </c>
    </row>
    <row r="11" spans="2:21" x14ac:dyDescent="0.35">
      <c r="B11" s="13" t="s">
        <v>51</v>
      </c>
      <c r="C11" s="22">
        <v>23</v>
      </c>
      <c r="D11" s="16">
        <f t="shared" si="11"/>
        <v>161</v>
      </c>
      <c r="E11" s="23">
        <v>1300</v>
      </c>
      <c r="F11" s="17">
        <f t="shared" si="12"/>
        <v>13300</v>
      </c>
      <c r="G11" s="16">
        <f t="shared" si="0"/>
        <v>390</v>
      </c>
      <c r="H11" s="17">
        <f t="shared" si="7"/>
        <v>13690</v>
      </c>
      <c r="I11" s="18">
        <f t="shared" si="8"/>
        <v>56.521739130434781</v>
      </c>
      <c r="J11" s="4">
        <f t="shared" si="9"/>
        <v>1840</v>
      </c>
      <c r="K11" s="4">
        <f t="shared" si="13"/>
        <v>13180</v>
      </c>
      <c r="L11" s="10">
        <f t="shared" si="10"/>
        <v>-510</v>
      </c>
      <c r="M11" s="19">
        <f t="shared" si="1"/>
        <v>3.1677018633540373</v>
      </c>
      <c r="N11" s="6">
        <f t="shared" si="2"/>
        <v>1932</v>
      </c>
      <c r="O11" s="6">
        <f t="shared" si="14"/>
        <v>13824</v>
      </c>
      <c r="P11" s="10">
        <f t="shared" si="3"/>
        <v>134</v>
      </c>
      <c r="Q11" s="8">
        <f t="shared" si="4"/>
        <v>9380</v>
      </c>
      <c r="R11" s="20" cm="1">
        <f t="array" ref="R11">_xlfn.IFS(N11&lt;$H$38,N11*$G$27,AND(N11&gt;=$H$38,N11&lt;=$I$38),N11*$G$27*(1-$G$38),N11&gt;$I$38,N11*$G$27*(1-$G$39))</f>
        <v>463680</v>
      </c>
      <c r="S11" s="20">
        <f t="shared" si="5"/>
        <v>0</v>
      </c>
      <c r="T11" s="20">
        <f t="shared" si="6"/>
        <v>55200</v>
      </c>
    </row>
    <row r="12" spans="2:21" x14ac:dyDescent="0.35">
      <c r="B12" s="16" t="s">
        <v>52</v>
      </c>
      <c r="C12" s="22">
        <v>21</v>
      </c>
      <c r="D12" s="16">
        <f t="shared" si="11"/>
        <v>182</v>
      </c>
      <c r="E12" s="23">
        <v>800</v>
      </c>
      <c r="F12" s="17">
        <f t="shared" si="12"/>
        <v>14100</v>
      </c>
      <c r="G12" s="16">
        <f t="shared" si="0"/>
        <v>160</v>
      </c>
      <c r="H12" s="17">
        <f t="shared" si="7"/>
        <v>14260</v>
      </c>
      <c r="I12" s="18">
        <f t="shared" si="8"/>
        <v>38.095238095238095</v>
      </c>
      <c r="J12" s="4">
        <f t="shared" si="9"/>
        <v>1680</v>
      </c>
      <c r="K12" s="4">
        <f t="shared" si="13"/>
        <v>14860</v>
      </c>
      <c r="L12" s="10">
        <f t="shared" si="10"/>
        <v>600</v>
      </c>
      <c r="M12" s="19">
        <f t="shared" si="1"/>
        <v>0</v>
      </c>
      <c r="N12" s="6">
        <f t="shared" si="2"/>
        <v>1764</v>
      </c>
      <c r="O12" s="6">
        <f t="shared" si="14"/>
        <v>15588</v>
      </c>
      <c r="P12" s="10">
        <f t="shared" si="3"/>
        <v>1328</v>
      </c>
      <c r="Q12" s="8">
        <f t="shared" si="4"/>
        <v>92960</v>
      </c>
      <c r="R12" s="20" cm="1">
        <f t="array" ref="R12">_xlfn.IFS(N12&lt;$H$38,N12*$G$27,AND(N12&gt;=$H$38,N12&lt;=$I$38),N12*$G$27*(1-$G$38),N12&gt;$I$38,N12*$G$27*(1-$G$39))</f>
        <v>423360</v>
      </c>
      <c r="S12" s="20">
        <f t="shared" si="5"/>
        <v>0</v>
      </c>
      <c r="T12" s="20">
        <f t="shared" si="6"/>
        <v>33600</v>
      </c>
    </row>
    <row r="13" spans="2:21" x14ac:dyDescent="0.35">
      <c r="B13" s="13" t="s">
        <v>53</v>
      </c>
      <c r="C13" s="22">
        <v>22</v>
      </c>
      <c r="D13" s="16">
        <f t="shared" si="11"/>
        <v>204</v>
      </c>
      <c r="E13" s="23">
        <v>1800</v>
      </c>
      <c r="F13" s="17">
        <f t="shared" si="12"/>
        <v>15900</v>
      </c>
      <c r="G13" s="16">
        <f t="shared" si="0"/>
        <v>450</v>
      </c>
      <c r="H13" s="17">
        <f t="shared" si="7"/>
        <v>16350</v>
      </c>
      <c r="I13" s="18">
        <f t="shared" si="8"/>
        <v>81.818181818181813</v>
      </c>
      <c r="J13" s="4">
        <f t="shared" si="9"/>
        <v>1760</v>
      </c>
      <c r="K13" s="4">
        <f t="shared" si="13"/>
        <v>16620</v>
      </c>
      <c r="L13" s="10">
        <f t="shared" si="10"/>
        <v>270</v>
      </c>
      <c r="M13" s="19">
        <f t="shared" si="1"/>
        <v>0</v>
      </c>
      <c r="N13" s="6">
        <f t="shared" si="2"/>
        <v>1848</v>
      </c>
      <c r="O13" s="6">
        <f t="shared" si="14"/>
        <v>17436</v>
      </c>
      <c r="P13" s="10">
        <f t="shared" si="3"/>
        <v>1086</v>
      </c>
      <c r="Q13" s="8">
        <f t="shared" si="4"/>
        <v>76020</v>
      </c>
      <c r="R13" s="20" cm="1">
        <f t="array" ref="R13">_xlfn.IFS(N13&lt;$H$38,N13*$G$27,AND(N13&gt;=$H$38,N13&lt;=$I$38),N13*$G$27*(1-$G$38),N13&gt;$I$38,N13*$G$27*(1-$G$39))</f>
        <v>443520</v>
      </c>
      <c r="S13" s="20">
        <f t="shared" si="5"/>
        <v>0</v>
      </c>
      <c r="T13" s="20">
        <f t="shared" si="6"/>
        <v>35200</v>
      </c>
    </row>
    <row r="14" spans="2:21" x14ac:dyDescent="0.35">
      <c r="B14" s="16" t="s">
        <v>54</v>
      </c>
      <c r="C14" s="22">
        <v>22</v>
      </c>
      <c r="D14" s="16">
        <f t="shared" si="11"/>
        <v>226</v>
      </c>
      <c r="E14" s="23">
        <v>2500</v>
      </c>
      <c r="F14" s="17">
        <f t="shared" si="12"/>
        <v>18400</v>
      </c>
      <c r="G14" s="16">
        <f t="shared" si="0"/>
        <v>625</v>
      </c>
      <c r="H14" s="17">
        <f t="shared" si="7"/>
        <v>19025</v>
      </c>
      <c r="I14" s="18">
        <f t="shared" si="8"/>
        <v>113.63636363636364</v>
      </c>
      <c r="J14" s="4">
        <f t="shared" si="9"/>
        <v>1760</v>
      </c>
      <c r="K14" s="4">
        <f t="shared" si="13"/>
        <v>18380</v>
      </c>
      <c r="L14" s="10">
        <f t="shared" si="10"/>
        <v>-645</v>
      </c>
      <c r="M14" s="19">
        <f t="shared" si="1"/>
        <v>2.8539823008849559</v>
      </c>
      <c r="N14" s="6">
        <f t="shared" si="2"/>
        <v>1848</v>
      </c>
      <c r="O14" s="6">
        <f t="shared" si="14"/>
        <v>19284</v>
      </c>
      <c r="P14" s="10">
        <f t="shared" si="3"/>
        <v>259</v>
      </c>
      <c r="Q14" s="8">
        <f t="shared" si="4"/>
        <v>18130</v>
      </c>
      <c r="R14" s="20" cm="1">
        <f t="array" ref="R14">_xlfn.IFS(N14&lt;$H$38,N14*$G$27,AND(N14&gt;=$H$38,N14&lt;=$I$38),N14*$G$27*(1-$G$38),N14&gt;$I$38,N14*$G$27*(1-$G$39))</f>
        <v>443520</v>
      </c>
      <c r="S14" s="20">
        <f t="shared" si="5"/>
        <v>0</v>
      </c>
      <c r="T14" s="20">
        <f t="shared" si="6"/>
        <v>35200</v>
      </c>
    </row>
    <row r="15" spans="2:21" x14ac:dyDescent="0.35">
      <c r="B15" s="13" t="s">
        <v>55</v>
      </c>
      <c r="C15" s="22">
        <v>18</v>
      </c>
      <c r="D15" s="16">
        <f t="shared" si="11"/>
        <v>244</v>
      </c>
      <c r="E15" s="23">
        <v>900</v>
      </c>
      <c r="F15" s="17">
        <f t="shared" si="12"/>
        <v>19300</v>
      </c>
      <c r="G15" s="16">
        <f t="shared" si="0"/>
        <v>135</v>
      </c>
      <c r="H15" s="17">
        <f t="shared" si="7"/>
        <v>19435</v>
      </c>
      <c r="I15" s="18">
        <f t="shared" si="8"/>
        <v>50</v>
      </c>
      <c r="J15" s="4">
        <f t="shared" si="9"/>
        <v>1440</v>
      </c>
      <c r="K15" s="4">
        <f t="shared" si="13"/>
        <v>19820</v>
      </c>
      <c r="L15" s="10">
        <f t="shared" si="10"/>
        <v>385</v>
      </c>
      <c r="M15" s="19">
        <f t="shared" si="1"/>
        <v>0</v>
      </c>
      <c r="N15" s="6">
        <f t="shared" si="2"/>
        <v>1512</v>
      </c>
      <c r="O15" s="6">
        <f t="shared" si="14"/>
        <v>20796</v>
      </c>
      <c r="P15" s="10">
        <f t="shared" si="3"/>
        <v>1361</v>
      </c>
      <c r="Q15" s="8">
        <f t="shared" si="4"/>
        <v>95270</v>
      </c>
      <c r="R15" s="20" cm="1">
        <f t="array" ref="R15">_xlfn.IFS(N15&lt;$H$38,N15*$G$27,AND(N15&gt;=$H$38,N15&lt;=$I$38),N15*$G$27*(1-$G$38),N15&gt;$I$38,N15*$G$27*(1-$G$39))</f>
        <v>385560</v>
      </c>
      <c r="S15" s="20">
        <f t="shared" si="5"/>
        <v>0</v>
      </c>
      <c r="T15" s="20">
        <f t="shared" si="6"/>
        <v>57600</v>
      </c>
    </row>
    <row r="17" spans="2:23" x14ac:dyDescent="0.35">
      <c r="B17" s="149" t="s">
        <v>21</v>
      </c>
      <c r="C17" s="149"/>
      <c r="D17" s="149"/>
      <c r="F17" s="6">
        <f>IF(($H$15/$D$15)&lt;$G$22,_xlfn.CEILING.MATH(($H$15/$D$15),1),$G$22)</f>
        <v>80</v>
      </c>
      <c r="G17" s="6">
        <f>(H15-G33)/D15</f>
        <v>78.97540983606558</v>
      </c>
      <c r="H17" s="21">
        <f>IF($F$17+$M$17&lt;=$G$22,_xlfn.CEILING.MATH(($F$17+$M$17),1),$G$22)</f>
        <v>84.009393822517083</v>
      </c>
      <c r="M17" s="11">
        <f>MAX(M4:M15)</f>
        <v>10.652173913043478</v>
      </c>
      <c r="N17" s="66"/>
      <c r="P17" s="10">
        <f>SUMIF(P4:P15,"&lt;0")</f>
        <v>-986</v>
      </c>
      <c r="S17" s="26" t="s">
        <v>75</v>
      </c>
      <c r="T17" s="27">
        <f>SUM(Q4:T15)</f>
        <v>7046990</v>
      </c>
    </row>
    <row r="18" spans="2:23" x14ac:dyDescent="0.35">
      <c r="F18" s="35">
        <f>F17+M17</f>
        <v>90.652173913043484</v>
      </c>
      <c r="S18" s="29" t="s">
        <v>58</v>
      </c>
      <c r="T18" s="31">
        <f>IF($P$15&gt;=0,($O$15-$P$15-$P$17)*$G$28,($P$15-$P$17)*$G$28)</f>
        <v>16336800</v>
      </c>
    </row>
    <row r="19" spans="2:23" x14ac:dyDescent="0.35">
      <c r="S19" s="30" t="s">
        <v>76</v>
      </c>
      <c r="T19" s="32">
        <f>$T$18-$T$17</f>
        <v>9289810</v>
      </c>
    </row>
    <row r="20" spans="2:23" ht="14.5" thickBot="1" x14ac:dyDescent="0.4"/>
    <row r="21" spans="2:23" ht="16" customHeight="1" thickBot="1" x14ac:dyDescent="0.4">
      <c r="J21" s="182" t="s">
        <v>3</v>
      </c>
      <c r="K21" s="183"/>
      <c r="L21" s="52" t="s">
        <v>78</v>
      </c>
      <c r="S21" s="85"/>
      <c r="T21" s="89" t="s">
        <v>86</v>
      </c>
      <c r="U21" s="82" t="s">
        <v>87</v>
      </c>
      <c r="V21" s="82" t="s">
        <v>88</v>
      </c>
      <c r="W21" s="82" t="s">
        <v>89</v>
      </c>
    </row>
    <row r="22" spans="2:23" ht="14.5" thickBot="1" x14ac:dyDescent="0.4">
      <c r="B22" s="157" t="s">
        <v>15</v>
      </c>
      <c r="C22" s="158"/>
      <c r="D22" s="158"/>
      <c r="E22" s="158"/>
      <c r="F22" s="158"/>
      <c r="G22" s="48">
        <f>($G$48*$G$46)/$G$35</f>
        <v>84.009393822517083</v>
      </c>
      <c r="J22" s="42" t="s">
        <v>44</v>
      </c>
      <c r="K22" s="49">
        <v>0.15</v>
      </c>
      <c r="L22" s="53">
        <v>1</v>
      </c>
      <c r="O22" s="72" t="s">
        <v>84</v>
      </c>
      <c r="P22" s="73" t="s">
        <v>83</v>
      </c>
      <c r="Q22" s="74" t="s">
        <v>85</v>
      </c>
      <c r="R22" s="86" t="s">
        <v>75</v>
      </c>
      <c r="S22" s="88" t="s">
        <v>58</v>
      </c>
      <c r="T22" s="87" t="s">
        <v>76</v>
      </c>
      <c r="U22" s="84" t="s">
        <v>76</v>
      </c>
      <c r="V22" s="75" t="s">
        <v>76</v>
      </c>
      <c r="W22" s="75" t="s">
        <v>76</v>
      </c>
    </row>
    <row r="23" spans="2:23" x14ac:dyDescent="0.35">
      <c r="B23" s="159" t="s">
        <v>14</v>
      </c>
      <c r="C23" s="160"/>
      <c r="D23" s="160"/>
      <c r="E23" s="160"/>
      <c r="F23" s="161"/>
      <c r="G23" s="36">
        <v>300</v>
      </c>
      <c r="J23" s="44" t="s">
        <v>45</v>
      </c>
      <c r="K23" s="50">
        <v>0.15</v>
      </c>
      <c r="L23" s="54">
        <v>1</v>
      </c>
      <c r="O23" s="92">
        <f>ABS(SUMIF(P4:P15,"&lt;0"))</f>
        <v>986</v>
      </c>
      <c r="P23" s="77">
        <v>25</v>
      </c>
      <c r="Q23" s="78">
        <f>$O$23*P23</f>
        <v>24650</v>
      </c>
      <c r="R23" s="76">
        <f t="shared" ref="R23:R54" si="15">$T$17+Q23</f>
        <v>7071640</v>
      </c>
      <c r="S23" s="83">
        <f>$T$18+($G$28*$O$23)</f>
        <v>17125600</v>
      </c>
      <c r="T23" s="117">
        <f t="shared" ref="T23:T44" si="16">$S$23-R23</f>
        <v>10053960</v>
      </c>
      <c r="U23" s="117">
        <f>'Σταθερή παραγωγή στο ΜΟ'!$O$19</f>
        <v>7482600</v>
      </c>
      <c r="V23" s="117">
        <f>'Σταθερή Παραγωγή στο Μέγιστο'!$T$19</f>
        <v>8501010</v>
      </c>
      <c r="W23" s="120">
        <f>'Παραγωγή με Υπερωρίες'!$W$22</f>
        <v>9537268.9695116151</v>
      </c>
    </row>
    <row r="24" spans="2:23" x14ac:dyDescent="0.35">
      <c r="B24" s="159" t="s">
        <v>17</v>
      </c>
      <c r="C24" s="160"/>
      <c r="D24" s="160"/>
      <c r="E24" s="160"/>
      <c r="F24" s="161"/>
      <c r="G24" s="36">
        <v>70</v>
      </c>
      <c r="J24" s="44" t="s">
        <v>46</v>
      </c>
      <c r="K24" s="50">
        <v>0.17499999999999999</v>
      </c>
      <c r="L24" s="54">
        <v>1</v>
      </c>
      <c r="O24" s="79"/>
      <c r="P24" s="67">
        <v>50</v>
      </c>
      <c r="Q24" s="69">
        <f t="shared" ref="Q24:Q44" si="17">$O$23*P24</f>
        <v>49300</v>
      </c>
      <c r="R24" s="79">
        <f t="shared" si="15"/>
        <v>7096290</v>
      </c>
      <c r="S24" s="114"/>
      <c r="T24" s="118">
        <f t="shared" si="16"/>
        <v>10029310</v>
      </c>
      <c r="U24" s="118">
        <f>'Σταθερή παραγωγή στο ΜΟ'!$O$19</f>
        <v>7482600</v>
      </c>
      <c r="V24" s="118">
        <f>'Σταθερή Παραγωγή στο Μέγιστο'!$T$19</f>
        <v>8501010</v>
      </c>
      <c r="W24" s="121">
        <f>'Παραγωγή με Υπερωρίες'!$W$22</f>
        <v>9537268.9695116151</v>
      </c>
    </row>
    <row r="25" spans="2:23" x14ac:dyDescent="0.35">
      <c r="B25" s="159" t="s">
        <v>18</v>
      </c>
      <c r="C25" s="160"/>
      <c r="D25" s="160"/>
      <c r="E25" s="160"/>
      <c r="F25" s="161"/>
      <c r="G25" s="36">
        <v>700</v>
      </c>
      <c r="J25" s="44" t="s">
        <v>47</v>
      </c>
      <c r="K25" s="50">
        <v>0.17499999999999999</v>
      </c>
      <c r="L25" s="54">
        <v>1.5</v>
      </c>
      <c r="O25" s="79"/>
      <c r="P25" s="67">
        <v>75</v>
      </c>
      <c r="Q25" s="69">
        <f t="shared" si="17"/>
        <v>73950</v>
      </c>
      <c r="R25" s="79">
        <f t="shared" si="15"/>
        <v>7120940</v>
      </c>
      <c r="S25" s="114"/>
      <c r="T25" s="118">
        <f t="shared" si="16"/>
        <v>10004660</v>
      </c>
      <c r="U25" s="118">
        <f>'Σταθερή παραγωγή στο ΜΟ'!$O$19</f>
        <v>7482600</v>
      </c>
      <c r="V25" s="118">
        <f>'Σταθερή Παραγωγή στο Μέγιστο'!$T$19</f>
        <v>8501010</v>
      </c>
      <c r="W25" s="121">
        <f>'Παραγωγή με Υπερωρίες'!$W$22</f>
        <v>9537268.9695116151</v>
      </c>
    </row>
    <row r="26" spans="2:23" x14ac:dyDescent="0.35">
      <c r="B26" s="90" t="s">
        <v>19</v>
      </c>
      <c r="C26" s="91"/>
      <c r="D26" s="91"/>
      <c r="E26" s="91"/>
      <c r="F26" s="91"/>
      <c r="G26" s="36">
        <v>400</v>
      </c>
      <c r="J26" s="44" t="s">
        <v>48</v>
      </c>
      <c r="K26" s="50">
        <v>0.25</v>
      </c>
      <c r="L26" s="54">
        <v>1</v>
      </c>
      <c r="O26" s="79"/>
      <c r="P26" s="67">
        <v>100</v>
      </c>
      <c r="Q26" s="69">
        <f t="shared" si="17"/>
        <v>98600</v>
      </c>
      <c r="R26" s="79">
        <f t="shared" si="15"/>
        <v>7145590</v>
      </c>
      <c r="S26" s="114"/>
      <c r="T26" s="118">
        <f t="shared" si="16"/>
        <v>9980010</v>
      </c>
      <c r="U26" s="118">
        <f>'Σταθερή παραγωγή στο ΜΟ'!$O$19</f>
        <v>7482600</v>
      </c>
      <c r="V26" s="118">
        <f>'Σταθερή Παραγωγή στο Μέγιστο'!$T$19</f>
        <v>8501010</v>
      </c>
      <c r="W26" s="121">
        <f>'Παραγωγή με Υπερωρίες'!$W$22</f>
        <v>9537268.9695116151</v>
      </c>
    </row>
    <row r="27" spans="2:23" x14ac:dyDescent="0.35">
      <c r="B27" s="155" t="s">
        <v>68</v>
      </c>
      <c r="C27" s="156"/>
      <c r="D27" s="156"/>
      <c r="E27" s="156"/>
      <c r="F27" s="156"/>
      <c r="G27" s="36">
        <v>300</v>
      </c>
      <c r="J27" s="44" t="s">
        <v>49</v>
      </c>
      <c r="K27" s="50">
        <v>0.35</v>
      </c>
      <c r="L27" s="54">
        <v>1</v>
      </c>
      <c r="O27" s="79"/>
      <c r="P27" s="67">
        <v>125</v>
      </c>
      <c r="Q27" s="69">
        <f t="shared" si="17"/>
        <v>123250</v>
      </c>
      <c r="R27" s="79">
        <f t="shared" si="15"/>
        <v>7170240</v>
      </c>
      <c r="S27" s="114"/>
      <c r="T27" s="118">
        <f t="shared" si="16"/>
        <v>9955360</v>
      </c>
      <c r="U27" s="118">
        <f>'Σταθερή παραγωγή στο ΜΟ'!$O$19</f>
        <v>7482600</v>
      </c>
      <c r="V27" s="118">
        <f>'Σταθερή Παραγωγή στο Μέγιστο'!$T$19</f>
        <v>8501010</v>
      </c>
      <c r="W27" s="121">
        <f>'Παραγωγή με Υπερωρίες'!$W$22</f>
        <v>9537268.9695116151</v>
      </c>
    </row>
    <row r="28" spans="2:23" ht="14.5" thickBot="1" x14ac:dyDescent="0.4">
      <c r="B28" s="153" t="s">
        <v>56</v>
      </c>
      <c r="C28" s="154"/>
      <c r="D28" s="154"/>
      <c r="E28" s="154"/>
      <c r="F28" s="154"/>
      <c r="G28" s="95">
        <v>800</v>
      </c>
      <c r="J28" s="44" t="s">
        <v>50</v>
      </c>
      <c r="K28" s="50">
        <v>0.3</v>
      </c>
      <c r="L28" s="54">
        <v>1</v>
      </c>
      <c r="O28" s="79"/>
      <c r="P28" s="67">
        <v>150</v>
      </c>
      <c r="Q28" s="69">
        <f t="shared" si="17"/>
        <v>147900</v>
      </c>
      <c r="R28" s="79">
        <f t="shared" si="15"/>
        <v>7194890</v>
      </c>
      <c r="S28" s="114"/>
      <c r="T28" s="118">
        <f t="shared" si="16"/>
        <v>9930710</v>
      </c>
      <c r="U28" s="118">
        <f>'Σταθερή παραγωγή στο ΜΟ'!$O$19</f>
        <v>7482600</v>
      </c>
      <c r="V28" s="118">
        <f>'Σταθερή Παραγωγή στο Μέγιστο'!$T$19</f>
        <v>8501010</v>
      </c>
      <c r="W28" s="121">
        <f>'Παραγωγή με Υπερωρίες'!$W$22</f>
        <v>9537268.9695116151</v>
      </c>
    </row>
    <row r="29" spans="2:23" ht="14.5" thickBot="1" x14ac:dyDescent="0.4">
      <c r="J29" s="44" t="s">
        <v>51</v>
      </c>
      <c r="K29" s="50">
        <v>0.3</v>
      </c>
      <c r="L29" s="54">
        <v>1.5</v>
      </c>
      <c r="O29" s="79"/>
      <c r="P29" s="67">
        <v>175</v>
      </c>
      <c r="Q29" s="69">
        <f t="shared" si="17"/>
        <v>172550</v>
      </c>
      <c r="R29" s="79">
        <f t="shared" si="15"/>
        <v>7219540</v>
      </c>
      <c r="S29" s="114"/>
      <c r="T29" s="118">
        <f t="shared" si="16"/>
        <v>9906060</v>
      </c>
      <c r="U29" s="118">
        <f>'Σταθερή παραγωγή στο ΜΟ'!$O$19</f>
        <v>7482600</v>
      </c>
      <c r="V29" s="118">
        <f>'Σταθερή Παραγωγή στο Μέγιστο'!$T$19</f>
        <v>8501010</v>
      </c>
      <c r="W29" s="121">
        <f>'Παραγωγή με Υπερωρίες'!$W$22</f>
        <v>9537268.9695116151</v>
      </c>
    </row>
    <row r="30" spans="2:23" ht="14.5" thickBot="1" x14ac:dyDescent="0.4">
      <c r="B30" s="162" t="s">
        <v>91</v>
      </c>
      <c r="C30" s="163"/>
      <c r="D30" s="163"/>
      <c r="E30" s="163"/>
      <c r="F30" s="163"/>
      <c r="G30" s="164"/>
      <c r="J30" s="44" t="s">
        <v>52</v>
      </c>
      <c r="K30" s="50">
        <v>0.2</v>
      </c>
      <c r="L30" s="54">
        <v>1</v>
      </c>
      <c r="O30" s="79"/>
      <c r="P30" s="67">
        <v>200</v>
      </c>
      <c r="Q30" s="69">
        <f t="shared" si="17"/>
        <v>197200</v>
      </c>
      <c r="R30" s="79">
        <f t="shared" si="15"/>
        <v>7244190</v>
      </c>
      <c r="S30" s="114"/>
      <c r="T30" s="118">
        <f t="shared" si="16"/>
        <v>9881410</v>
      </c>
      <c r="U30" s="118">
        <f>'Σταθερή παραγωγή στο ΜΟ'!$O$19</f>
        <v>7482600</v>
      </c>
      <c r="V30" s="118">
        <f>'Σταθερή Παραγωγή στο Μέγιστο'!$T$19</f>
        <v>8501010</v>
      </c>
      <c r="W30" s="121">
        <f>'Παραγωγή με Υπερωρίες'!$W$22</f>
        <v>9537268.9695116151</v>
      </c>
    </row>
    <row r="31" spans="2:23" x14ac:dyDescent="0.35">
      <c r="B31" s="150" t="s">
        <v>69</v>
      </c>
      <c r="C31" s="151"/>
      <c r="D31" s="151"/>
      <c r="E31" s="151"/>
      <c r="F31" s="152"/>
      <c r="G31" s="96">
        <v>0.08</v>
      </c>
      <c r="J31" s="44" t="s">
        <v>53</v>
      </c>
      <c r="K31" s="50">
        <v>0.25</v>
      </c>
      <c r="L31" s="54">
        <v>1</v>
      </c>
      <c r="O31" s="79"/>
      <c r="P31" s="67">
        <v>225</v>
      </c>
      <c r="Q31" s="69">
        <f t="shared" si="17"/>
        <v>221850</v>
      </c>
      <c r="R31" s="79">
        <f t="shared" si="15"/>
        <v>7268840</v>
      </c>
      <c r="S31" s="114"/>
      <c r="T31" s="118">
        <f t="shared" si="16"/>
        <v>9856760</v>
      </c>
      <c r="U31" s="118">
        <f>'Σταθερή παραγωγή στο ΜΟ'!$O$19</f>
        <v>7482600</v>
      </c>
      <c r="V31" s="118">
        <f>'Σταθερή Παραγωγή στο Μέγιστο'!$T$19</f>
        <v>8501010</v>
      </c>
      <c r="W31" s="121">
        <f>'Παραγωγή με Υπερωρίες'!$W$22</f>
        <v>9537268.9695116151</v>
      </c>
    </row>
    <row r="32" spans="2:23" ht="16" customHeight="1" x14ac:dyDescent="0.35">
      <c r="B32" s="159" t="s">
        <v>70</v>
      </c>
      <c r="C32" s="160"/>
      <c r="D32" s="160"/>
      <c r="E32" s="160"/>
      <c r="F32" s="161"/>
      <c r="G32" s="36">
        <v>4.4000000000000004</v>
      </c>
      <c r="J32" s="44" t="s">
        <v>54</v>
      </c>
      <c r="K32" s="50">
        <v>0.25</v>
      </c>
      <c r="L32" s="54">
        <v>1</v>
      </c>
      <c r="O32" s="79"/>
      <c r="P32" s="67">
        <v>250</v>
      </c>
      <c r="Q32" s="69">
        <f t="shared" si="17"/>
        <v>246500</v>
      </c>
      <c r="R32" s="79">
        <f t="shared" si="15"/>
        <v>7293490</v>
      </c>
      <c r="S32" s="114"/>
      <c r="T32" s="118">
        <f t="shared" si="16"/>
        <v>9832110</v>
      </c>
      <c r="U32" s="118">
        <f>'Σταθερή παραγωγή στο ΜΟ'!$O$19</f>
        <v>7482600</v>
      </c>
      <c r="V32" s="118">
        <f>'Σταθερή Παραγωγή στο Μέγιστο'!$T$19</f>
        <v>8501010</v>
      </c>
      <c r="W32" s="121">
        <f>'Παραγωγή με Υπερωρίες'!$W$22</f>
        <v>9537268.9695116151</v>
      </c>
    </row>
    <row r="33" spans="2:23" ht="14.5" thickBot="1" x14ac:dyDescent="0.4">
      <c r="B33" s="159" t="s">
        <v>72</v>
      </c>
      <c r="C33" s="160"/>
      <c r="D33" s="160"/>
      <c r="E33" s="160"/>
      <c r="F33" s="161"/>
      <c r="G33" s="36">
        <v>165</v>
      </c>
      <c r="J33" s="46" t="s">
        <v>55</v>
      </c>
      <c r="K33" s="51">
        <v>0.15</v>
      </c>
      <c r="L33" s="55">
        <v>2</v>
      </c>
      <c r="O33" s="79"/>
      <c r="P33" s="67">
        <v>275</v>
      </c>
      <c r="Q33" s="69">
        <f t="shared" si="17"/>
        <v>271150</v>
      </c>
      <c r="R33" s="79">
        <f t="shared" si="15"/>
        <v>7318140</v>
      </c>
      <c r="S33" s="114"/>
      <c r="T33" s="118">
        <f t="shared" si="16"/>
        <v>9807460</v>
      </c>
      <c r="U33" s="118">
        <f>'Σταθερή παραγωγή στο ΜΟ'!$O$19</f>
        <v>7482600</v>
      </c>
      <c r="V33" s="118">
        <f>'Σταθερή Παραγωγή στο Μέγιστο'!$T$19</f>
        <v>8501010</v>
      </c>
      <c r="W33" s="121">
        <f>'Παραγωγή με Υπερωρίες'!$W$22</f>
        <v>9537268.9695116151</v>
      </c>
    </row>
    <row r="34" spans="2:23" x14ac:dyDescent="0.35">
      <c r="B34" s="159" t="s">
        <v>71</v>
      </c>
      <c r="C34" s="160"/>
      <c r="D34" s="160"/>
      <c r="E34" s="160"/>
      <c r="F34" s="161"/>
      <c r="G34" s="37">
        <f>-(LN(1-$G$31)/LN(2))</f>
        <v>0.12029423371771177</v>
      </c>
      <c r="O34" s="79"/>
      <c r="P34" s="67">
        <v>300</v>
      </c>
      <c r="Q34" s="69">
        <f t="shared" si="17"/>
        <v>295800</v>
      </c>
      <c r="R34" s="79">
        <f t="shared" si="15"/>
        <v>7342790</v>
      </c>
      <c r="S34" s="114"/>
      <c r="T34" s="118">
        <f t="shared" si="16"/>
        <v>9782810</v>
      </c>
      <c r="U34" s="118">
        <f>'Σταθερή παραγωγή στο ΜΟ'!$O$19</f>
        <v>7482600</v>
      </c>
      <c r="V34" s="118">
        <f>'Σταθερή Παραγωγή στο Μέγιστο'!$T$19</f>
        <v>8501010</v>
      </c>
      <c r="W34" s="121">
        <f>'Παραγωγή με Υπερωρίες'!$W$22</f>
        <v>9537268.9695116151</v>
      </c>
    </row>
    <row r="35" spans="2:23" ht="14.5" thickBot="1" x14ac:dyDescent="0.4">
      <c r="B35" s="153" t="s">
        <v>77</v>
      </c>
      <c r="C35" s="154"/>
      <c r="D35" s="154"/>
      <c r="E35" s="154"/>
      <c r="F35" s="154"/>
      <c r="G35" s="95">
        <f>$G$32*($G$33)^-$G$34</f>
        <v>2.3806861459151953</v>
      </c>
      <c r="O35" s="79"/>
      <c r="P35" s="67">
        <v>325</v>
      </c>
      <c r="Q35" s="69">
        <f t="shared" si="17"/>
        <v>320450</v>
      </c>
      <c r="R35" s="79">
        <f t="shared" si="15"/>
        <v>7367440</v>
      </c>
      <c r="S35" s="114"/>
      <c r="T35" s="118">
        <f t="shared" si="16"/>
        <v>9758160</v>
      </c>
      <c r="U35" s="118">
        <f>'Σταθερή παραγωγή στο ΜΟ'!$O$19</f>
        <v>7482600</v>
      </c>
      <c r="V35" s="118">
        <f>'Σταθερή Παραγωγή στο Μέγιστο'!$T$19</f>
        <v>8501010</v>
      </c>
      <c r="W35" s="121">
        <f>'Παραγωγή με Υπερωρίες'!$W$22</f>
        <v>9537268.9695116151</v>
      </c>
    </row>
    <row r="36" spans="2:23" ht="14.5" thickBot="1" x14ac:dyDescent="0.4">
      <c r="O36" s="79"/>
      <c r="P36" s="67">
        <v>350</v>
      </c>
      <c r="Q36" s="69">
        <f t="shared" si="17"/>
        <v>345100</v>
      </c>
      <c r="R36" s="79">
        <f t="shared" si="15"/>
        <v>7392090</v>
      </c>
      <c r="S36" s="114"/>
      <c r="T36" s="118">
        <f t="shared" si="16"/>
        <v>9733510</v>
      </c>
      <c r="U36" s="118">
        <f>'Σταθερή παραγωγή στο ΜΟ'!$O$19</f>
        <v>7482600</v>
      </c>
      <c r="V36" s="118">
        <f>'Σταθερή Παραγωγή στο Μέγιστο'!$T$19</f>
        <v>8501010</v>
      </c>
      <c r="W36" s="121">
        <f>'Παραγωγή με Υπερωρίες'!$W$22</f>
        <v>9537268.9695116151</v>
      </c>
    </row>
    <row r="37" spans="2:23" ht="16" customHeight="1" thickBot="1" x14ac:dyDescent="0.4">
      <c r="B37" s="165" t="s">
        <v>93</v>
      </c>
      <c r="C37" s="166"/>
      <c r="D37" s="166"/>
      <c r="E37" s="166"/>
      <c r="F37" s="166"/>
      <c r="G37" s="167"/>
      <c r="O37" s="79"/>
      <c r="P37" s="67">
        <v>375</v>
      </c>
      <c r="Q37" s="69">
        <f t="shared" si="17"/>
        <v>369750</v>
      </c>
      <c r="R37" s="79">
        <f t="shared" si="15"/>
        <v>7416740</v>
      </c>
      <c r="S37" s="114"/>
      <c r="T37" s="118">
        <f t="shared" si="16"/>
        <v>9708860</v>
      </c>
      <c r="U37" s="118">
        <f>'Σταθερή παραγωγή στο ΜΟ'!$O$19</f>
        <v>7482600</v>
      </c>
      <c r="V37" s="118">
        <f>'Σταθερή Παραγωγή στο Μέγιστο'!$T$19</f>
        <v>8501010</v>
      </c>
      <c r="W37" s="121">
        <f>'Παραγωγή με Υπερωρίες'!$W$22</f>
        <v>9537268.9695116151</v>
      </c>
    </row>
    <row r="38" spans="2:23" ht="14.5" thickBot="1" x14ac:dyDescent="0.4">
      <c r="B38" s="157" t="s">
        <v>103</v>
      </c>
      <c r="C38" s="158"/>
      <c r="D38" s="158"/>
      <c r="E38" s="158"/>
      <c r="F38" s="158"/>
      <c r="G38" s="97">
        <v>0.15</v>
      </c>
      <c r="H38" s="40">
        <v>1000</v>
      </c>
      <c r="I38" s="41">
        <v>1700</v>
      </c>
      <c r="O38" s="79"/>
      <c r="P38" s="67">
        <v>400</v>
      </c>
      <c r="Q38" s="69">
        <f t="shared" si="17"/>
        <v>394400</v>
      </c>
      <c r="R38" s="79">
        <f t="shared" si="15"/>
        <v>7441390</v>
      </c>
      <c r="S38" s="114"/>
      <c r="T38" s="118">
        <f t="shared" si="16"/>
        <v>9684210</v>
      </c>
      <c r="U38" s="118">
        <f>'Σταθερή παραγωγή στο ΜΟ'!$O$19</f>
        <v>7482600</v>
      </c>
      <c r="V38" s="118">
        <f>'Σταθερή Παραγωγή στο Μέγιστο'!$T$19</f>
        <v>8501010</v>
      </c>
      <c r="W38" s="121">
        <f>'Παραγωγή με Υπερωρίες'!$W$22</f>
        <v>9537268.9695116151</v>
      </c>
    </row>
    <row r="39" spans="2:23" ht="14.5" thickBot="1" x14ac:dyDescent="0.4">
      <c r="B39" s="153" t="s">
        <v>104</v>
      </c>
      <c r="C39" s="154"/>
      <c r="D39" s="154"/>
      <c r="E39" s="154"/>
      <c r="F39" s="154"/>
      <c r="G39" s="39">
        <v>0.2</v>
      </c>
      <c r="O39" s="79"/>
      <c r="P39" s="67">
        <v>425</v>
      </c>
      <c r="Q39" s="69">
        <f t="shared" si="17"/>
        <v>419050</v>
      </c>
      <c r="R39" s="79">
        <f t="shared" si="15"/>
        <v>7466040</v>
      </c>
      <c r="S39" s="114"/>
      <c r="T39" s="118">
        <f t="shared" si="16"/>
        <v>9659560</v>
      </c>
      <c r="U39" s="118">
        <f>'Σταθερή παραγωγή στο ΜΟ'!$O$19</f>
        <v>7482600</v>
      </c>
      <c r="V39" s="118">
        <f>'Σταθερή Παραγωγή στο Μέγιστο'!$T$19</f>
        <v>8501010</v>
      </c>
      <c r="W39" s="121">
        <f>'Παραγωγή με Υπερωρίες'!$W$22</f>
        <v>9537268.9695116151</v>
      </c>
    </row>
    <row r="40" spans="2:23" ht="14.5" thickBot="1" x14ac:dyDescent="0.4">
      <c r="O40" s="79"/>
      <c r="P40" s="67">
        <v>450</v>
      </c>
      <c r="Q40" s="69">
        <f t="shared" si="17"/>
        <v>443700</v>
      </c>
      <c r="R40" s="79">
        <f t="shared" si="15"/>
        <v>7490690</v>
      </c>
      <c r="S40" s="114"/>
      <c r="T40" s="118">
        <f t="shared" si="16"/>
        <v>9634910</v>
      </c>
      <c r="U40" s="118">
        <f>'Σταθερή παραγωγή στο ΜΟ'!$O$19</f>
        <v>7482600</v>
      </c>
      <c r="V40" s="118">
        <f>'Σταθερή Παραγωγή στο Μέγιστο'!$T$19</f>
        <v>8501010</v>
      </c>
      <c r="W40" s="121">
        <f>'Παραγωγή με Υπερωρίες'!$W$22</f>
        <v>9537268.9695116151</v>
      </c>
    </row>
    <row r="41" spans="2:23" ht="14.5" thickBot="1" x14ac:dyDescent="0.4">
      <c r="B41" s="168" t="s">
        <v>90</v>
      </c>
      <c r="C41" s="169"/>
      <c r="D41" s="169"/>
      <c r="E41" s="169"/>
      <c r="F41" s="169"/>
      <c r="G41" s="170"/>
      <c r="O41" s="79"/>
      <c r="P41" s="67">
        <v>475</v>
      </c>
      <c r="Q41" s="69">
        <f t="shared" si="17"/>
        <v>468350</v>
      </c>
      <c r="R41" s="79">
        <f t="shared" si="15"/>
        <v>7515340</v>
      </c>
      <c r="S41" s="114"/>
      <c r="T41" s="118">
        <f t="shared" si="16"/>
        <v>9610260</v>
      </c>
      <c r="U41" s="118">
        <f>'Σταθερή παραγωγή στο ΜΟ'!$O$19</f>
        <v>7482600</v>
      </c>
      <c r="V41" s="118">
        <f>'Σταθερή Παραγωγή στο Μέγιστο'!$T$19</f>
        <v>8501010</v>
      </c>
      <c r="W41" s="121">
        <f>'Παραγωγή με Υπερωρίες'!$W$22</f>
        <v>9537268.9695116151</v>
      </c>
    </row>
    <row r="42" spans="2:23" x14ac:dyDescent="0.35">
      <c r="B42" s="157" t="s">
        <v>61</v>
      </c>
      <c r="C42" s="158"/>
      <c r="D42" s="158"/>
      <c r="E42" s="158"/>
      <c r="F42" s="158"/>
      <c r="G42" s="94">
        <v>10000</v>
      </c>
      <c r="O42" s="79"/>
      <c r="P42" s="67">
        <v>500</v>
      </c>
      <c r="Q42" s="69">
        <f t="shared" si="17"/>
        <v>493000</v>
      </c>
      <c r="R42" s="79">
        <f t="shared" si="15"/>
        <v>7539990</v>
      </c>
      <c r="S42" s="114"/>
      <c r="T42" s="118">
        <f t="shared" si="16"/>
        <v>9585610</v>
      </c>
      <c r="U42" s="118">
        <f>'Σταθερή παραγωγή στο ΜΟ'!$O$19</f>
        <v>7482600</v>
      </c>
      <c r="V42" s="118">
        <f>'Σταθερή Παραγωγή στο Μέγιστο'!$T$19</f>
        <v>8501010</v>
      </c>
      <c r="W42" s="121">
        <f>'Παραγωγή με Υπερωρίες'!$W$22</f>
        <v>9537268.9695116151</v>
      </c>
    </row>
    <row r="43" spans="2:23" ht="14.5" thickBot="1" x14ac:dyDescent="0.4">
      <c r="B43" s="153" t="s">
        <v>62</v>
      </c>
      <c r="C43" s="154"/>
      <c r="D43" s="154"/>
      <c r="E43" s="154"/>
      <c r="F43" s="154"/>
      <c r="G43" s="95">
        <v>1700</v>
      </c>
      <c r="O43" s="79"/>
      <c r="P43" s="67">
        <v>525</v>
      </c>
      <c r="Q43" s="69">
        <f t="shared" si="17"/>
        <v>517650</v>
      </c>
      <c r="R43" s="79">
        <f t="shared" si="15"/>
        <v>7564640</v>
      </c>
      <c r="S43" s="114"/>
      <c r="T43" s="118">
        <f t="shared" si="16"/>
        <v>9560960</v>
      </c>
      <c r="U43" s="118">
        <f>'Σταθερή παραγωγή στο ΜΟ'!$O$19</f>
        <v>7482600</v>
      </c>
      <c r="V43" s="118">
        <f>'Σταθερή Παραγωγή στο Μέγιστο'!$T$19</f>
        <v>8501010</v>
      </c>
      <c r="W43" s="121">
        <f>'Παραγωγή με Υπερωρίες'!$W$22</f>
        <v>9537268.9695116151</v>
      </c>
    </row>
    <row r="44" spans="2:23" ht="14.5" thickBot="1" x14ac:dyDescent="0.4">
      <c r="O44" s="79"/>
      <c r="P44" s="67">
        <v>550</v>
      </c>
      <c r="Q44" s="69">
        <f t="shared" si="17"/>
        <v>542300</v>
      </c>
      <c r="R44" s="79">
        <f t="shared" si="15"/>
        <v>7589290</v>
      </c>
      <c r="S44" s="114"/>
      <c r="T44" s="118">
        <f t="shared" si="16"/>
        <v>9536310</v>
      </c>
      <c r="U44" s="118">
        <f>'Σταθερή παραγωγή στο ΜΟ'!$O$19</f>
        <v>7482600</v>
      </c>
      <c r="V44" s="118">
        <f>'Σταθερή Παραγωγή στο Μέγιστο'!$T$19</f>
        <v>8501010</v>
      </c>
      <c r="W44" s="121">
        <f>'Παραγωγή με Υπερωρίες'!$W$22</f>
        <v>9537268.9695116151</v>
      </c>
    </row>
    <row r="45" spans="2:23" ht="14.5" thickBot="1" x14ac:dyDescent="0.4">
      <c r="B45" s="173" t="s">
        <v>92</v>
      </c>
      <c r="C45" s="174"/>
      <c r="D45" s="174"/>
      <c r="E45" s="174"/>
      <c r="F45" s="174"/>
      <c r="G45" s="175"/>
      <c r="O45" s="79"/>
      <c r="P45" s="67">
        <v>575</v>
      </c>
      <c r="Q45" s="69">
        <f t="shared" ref="Q45:Q54" si="18">$O$23*P45</f>
        <v>566950</v>
      </c>
      <c r="R45" s="79">
        <f t="shared" si="15"/>
        <v>7613940</v>
      </c>
      <c r="S45" s="114"/>
      <c r="T45" s="118">
        <f t="shared" ref="T45:T54" si="19">$S$23-R45</f>
        <v>9511660</v>
      </c>
      <c r="U45" s="118">
        <f>'Σταθερή παραγωγή στο ΜΟ'!$O$19</f>
        <v>7482600</v>
      </c>
      <c r="V45" s="118">
        <f>'Σταθερή Παραγωγή στο Μέγιστο'!$T$19</f>
        <v>8501010</v>
      </c>
      <c r="W45" s="121">
        <f>'Παραγωγή με Υπερωρίες'!$W$22</f>
        <v>9537268.9695116151</v>
      </c>
    </row>
    <row r="46" spans="2:23" x14ac:dyDescent="0.35">
      <c r="B46" s="157" t="s">
        <v>73</v>
      </c>
      <c r="C46" s="158"/>
      <c r="D46" s="158"/>
      <c r="E46" s="158"/>
      <c r="F46" s="158"/>
      <c r="G46" s="94">
        <v>8</v>
      </c>
      <c r="O46" s="79"/>
      <c r="P46" s="67">
        <v>600</v>
      </c>
      <c r="Q46" s="69">
        <f t="shared" si="18"/>
        <v>591600</v>
      </c>
      <c r="R46" s="79">
        <f t="shared" si="15"/>
        <v>7638590</v>
      </c>
      <c r="S46" s="114"/>
      <c r="T46" s="118">
        <f t="shared" si="19"/>
        <v>9487010</v>
      </c>
      <c r="U46" s="118">
        <f>'Σταθερή παραγωγή στο ΜΟ'!$O$19</f>
        <v>7482600</v>
      </c>
      <c r="V46" s="118">
        <f>'Σταθερή Παραγωγή στο Μέγιστο'!$T$19</f>
        <v>8501010</v>
      </c>
      <c r="W46" s="121">
        <f>'Παραγωγή με Υπερωρίες'!$W$22</f>
        <v>9537268.9695116151</v>
      </c>
    </row>
    <row r="47" spans="2:23" x14ac:dyDescent="0.35">
      <c r="B47" s="155" t="s">
        <v>65</v>
      </c>
      <c r="C47" s="156"/>
      <c r="D47" s="156"/>
      <c r="E47" s="156"/>
      <c r="F47" s="156"/>
      <c r="G47" s="36">
        <v>8</v>
      </c>
      <c r="O47" s="79"/>
      <c r="P47" s="67">
        <v>625</v>
      </c>
      <c r="Q47" s="69">
        <f t="shared" si="18"/>
        <v>616250</v>
      </c>
      <c r="R47" s="79">
        <f t="shared" si="15"/>
        <v>7663240</v>
      </c>
      <c r="S47" s="114"/>
      <c r="T47" s="118">
        <f t="shared" si="19"/>
        <v>9462360</v>
      </c>
      <c r="U47" s="118">
        <f>'Σταθερή παραγωγή στο ΜΟ'!$O$19</f>
        <v>7482600</v>
      </c>
      <c r="V47" s="118">
        <f>'Σταθερή Παραγωγή στο Μέγιστο'!$T$19</f>
        <v>8501010</v>
      </c>
      <c r="W47" s="121">
        <f>'Παραγωγή με Υπερωρίες'!$W$22</f>
        <v>9537268.9695116151</v>
      </c>
    </row>
    <row r="48" spans="2:23" x14ac:dyDescent="0.35">
      <c r="B48" s="155" t="s">
        <v>66</v>
      </c>
      <c r="C48" s="156"/>
      <c r="D48" s="156"/>
      <c r="E48" s="156"/>
      <c r="F48" s="156"/>
      <c r="G48" s="36">
        <v>25</v>
      </c>
      <c r="O48" s="79"/>
      <c r="P48" s="67">
        <v>650</v>
      </c>
      <c r="Q48" s="69">
        <f t="shared" si="18"/>
        <v>640900</v>
      </c>
      <c r="R48" s="79">
        <f t="shared" si="15"/>
        <v>7687890</v>
      </c>
      <c r="S48" s="114"/>
      <c r="T48" s="118">
        <f t="shared" si="19"/>
        <v>9437710</v>
      </c>
      <c r="U48" s="118">
        <f>'Σταθερή παραγωγή στο ΜΟ'!$O$19</f>
        <v>7482600</v>
      </c>
      <c r="V48" s="118">
        <f>'Σταθερή Παραγωγή στο Μέγιστο'!$T$19</f>
        <v>8501010</v>
      </c>
      <c r="W48" s="121">
        <f>'Παραγωγή με Υπερωρίες'!$W$22</f>
        <v>9537268.9695116151</v>
      </c>
    </row>
    <row r="49" spans="15:23" x14ac:dyDescent="0.35">
      <c r="O49" s="79"/>
      <c r="P49" s="67">
        <v>675</v>
      </c>
      <c r="Q49" s="69">
        <f t="shared" si="18"/>
        <v>665550</v>
      </c>
      <c r="R49" s="79">
        <f t="shared" si="15"/>
        <v>7712540</v>
      </c>
      <c r="S49" s="114"/>
      <c r="T49" s="118">
        <f t="shared" si="19"/>
        <v>9413060</v>
      </c>
      <c r="U49" s="118">
        <f>'Σταθερή παραγωγή στο ΜΟ'!$O$19</f>
        <v>7482600</v>
      </c>
      <c r="V49" s="118">
        <f>'Σταθερή Παραγωγή στο Μέγιστο'!$T$19</f>
        <v>8501010</v>
      </c>
      <c r="W49" s="121">
        <f>'Παραγωγή με Υπερωρίες'!$W$22</f>
        <v>9537268.9695116151</v>
      </c>
    </row>
    <row r="50" spans="15:23" x14ac:dyDescent="0.35">
      <c r="O50" s="68"/>
      <c r="P50" s="67">
        <v>700</v>
      </c>
      <c r="Q50" s="69">
        <f t="shared" si="18"/>
        <v>690200</v>
      </c>
      <c r="R50" s="79">
        <f t="shared" si="15"/>
        <v>7737190</v>
      </c>
      <c r="S50" s="115"/>
      <c r="T50" s="118">
        <f t="shared" si="19"/>
        <v>9388410</v>
      </c>
      <c r="U50" s="118">
        <f>'Σταθερή παραγωγή στο ΜΟ'!$O$19</f>
        <v>7482600</v>
      </c>
      <c r="V50" s="118">
        <f>'Σταθερή Παραγωγή στο Μέγιστο'!$T$19</f>
        <v>8501010</v>
      </c>
      <c r="W50" s="121">
        <f>'Παραγωγή με Υπερωρίες'!$W$22</f>
        <v>9537268.9695116151</v>
      </c>
    </row>
    <row r="51" spans="15:23" x14ac:dyDescent="0.35">
      <c r="O51" s="68"/>
      <c r="P51" s="67">
        <v>725</v>
      </c>
      <c r="Q51" s="69">
        <f t="shared" si="18"/>
        <v>714850</v>
      </c>
      <c r="R51" s="79">
        <f t="shared" si="15"/>
        <v>7761840</v>
      </c>
      <c r="S51" s="115"/>
      <c r="T51" s="118">
        <f t="shared" si="19"/>
        <v>9363760</v>
      </c>
      <c r="U51" s="118">
        <f>'Σταθερή παραγωγή στο ΜΟ'!$O$19</f>
        <v>7482600</v>
      </c>
      <c r="V51" s="118">
        <f>'Σταθερή Παραγωγή στο Μέγιστο'!$T$19</f>
        <v>8501010</v>
      </c>
      <c r="W51" s="121">
        <f>'Παραγωγή με Υπερωρίες'!$W$22</f>
        <v>9537268.9695116151</v>
      </c>
    </row>
    <row r="52" spans="15:23" x14ac:dyDescent="0.35">
      <c r="O52" s="68"/>
      <c r="P52" s="67">
        <v>750</v>
      </c>
      <c r="Q52" s="69">
        <f t="shared" si="18"/>
        <v>739500</v>
      </c>
      <c r="R52" s="79">
        <f t="shared" si="15"/>
        <v>7786490</v>
      </c>
      <c r="S52" s="115"/>
      <c r="T52" s="118">
        <f t="shared" si="19"/>
        <v>9339110</v>
      </c>
      <c r="U52" s="118">
        <f>'Σταθερή παραγωγή στο ΜΟ'!$O$19</f>
        <v>7482600</v>
      </c>
      <c r="V52" s="118">
        <f>'Σταθερή Παραγωγή στο Μέγιστο'!$T$19</f>
        <v>8501010</v>
      </c>
      <c r="W52" s="121">
        <f>'Παραγωγή με Υπερωρίες'!$W$22</f>
        <v>9537268.9695116151</v>
      </c>
    </row>
    <row r="53" spans="15:23" x14ac:dyDescent="0.35">
      <c r="O53" s="68"/>
      <c r="P53" s="67">
        <v>775</v>
      </c>
      <c r="Q53" s="69">
        <f t="shared" si="18"/>
        <v>764150</v>
      </c>
      <c r="R53" s="79">
        <f t="shared" si="15"/>
        <v>7811140</v>
      </c>
      <c r="S53" s="115"/>
      <c r="T53" s="118">
        <f t="shared" si="19"/>
        <v>9314460</v>
      </c>
      <c r="U53" s="118">
        <f>'Σταθερή παραγωγή στο ΜΟ'!$O$19</f>
        <v>7482600</v>
      </c>
      <c r="V53" s="118">
        <f>'Σταθερή Παραγωγή στο Μέγιστο'!$T$19</f>
        <v>8501010</v>
      </c>
      <c r="W53" s="121">
        <f>'Παραγωγή με Υπερωρίες'!$W$22</f>
        <v>9537268.9695116151</v>
      </c>
    </row>
    <row r="54" spans="15:23" ht="14.5" thickBot="1" x14ac:dyDescent="0.4">
      <c r="O54" s="70"/>
      <c r="P54" s="81">
        <v>800</v>
      </c>
      <c r="Q54" s="71">
        <f t="shared" si="18"/>
        <v>788800</v>
      </c>
      <c r="R54" s="80">
        <f t="shared" si="15"/>
        <v>7835790</v>
      </c>
      <c r="S54" s="116"/>
      <c r="T54" s="119">
        <f t="shared" si="19"/>
        <v>9289810</v>
      </c>
      <c r="U54" s="119">
        <f>'Σταθερή παραγωγή στο ΜΟ'!$O$19</f>
        <v>7482600</v>
      </c>
      <c r="V54" s="119">
        <f>'Σταθερή Παραγωγή στο Μέγιστο'!$T$19</f>
        <v>8501010</v>
      </c>
      <c r="W54" s="122">
        <f>'Παραγωγή με Υπερωρίες'!$W$22</f>
        <v>9537268.9695116151</v>
      </c>
    </row>
  </sheetData>
  <mergeCells count="24">
    <mergeCell ref="J21:K21"/>
    <mergeCell ref="B38:F38"/>
    <mergeCell ref="B39:F39"/>
    <mergeCell ref="B46:F46"/>
    <mergeCell ref="B47:F47"/>
    <mergeCell ref="B27:F27"/>
    <mergeCell ref="B28:F28"/>
    <mergeCell ref="B48:F48"/>
    <mergeCell ref="B30:G30"/>
    <mergeCell ref="B45:G45"/>
    <mergeCell ref="B37:G37"/>
    <mergeCell ref="B34:F34"/>
    <mergeCell ref="B35:F35"/>
    <mergeCell ref="B42:F42"/>
    <mergeCell ref="B43:F43"/>
    <mergeCell ref="B41:G41"/>
    <mergeCell ref="B33:F33"/>
    <mergeCell ref="B17:D17"/>
    <mergeCell ref="B22:F22"/>
    <mergeCell ref="B31:F31"/>
    <mergeCell ref="B32:F32"/>
    <mergeCell ref="B23:F23"/>
    <mergeCell ref="B24:F24"/>
    <mergeCell ref="B25:F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Learning Curve</vt:lpstr>
      <vt:lpstr>Σταθερή παραγωγή στο ΜΟ</vt:lpstr>
      <vt:lpstr>Σταθερή Παραγωγή στο Μέγιστο</vt:lpstr>
      <vt:lpstr>Παραγωγή με Υπερωρίες</vt:lpstr>
      <vt:lpstr>Cost Analysis</vt:lpstr>
      <vt:lpstr>Outsourcing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Emiris</dc:creator>
  <cp:lastModifiedBy>Charoula Kousiatza</cp:lastModifiedBy>
  <dcterms:created xsi:type="dcterms:W3CDTF">2015-12-04T07:30:53Z</dcterms:created>
  <dcterms:modified xsi:type="dcterms:W3CDTF">2025-12-23T01:46:02Z</dcterms:modified>
</cp:coreProperties>
</file>