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Piraeus\Classes\PRODUCTION PLANNING\FALL 2022\WORKSHEETS\"/>
    </mc:Choice>
  </mc:AlternateContent>
  <xr:revisionPtr revIDLastSave="0" documentId="8_{273F0DC2-89CC-4994-A010-E06E7045E1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Σταθερή παραγωγή στο ΜΟ" sheetId="1" r:id="rId1"/>
    <sheet name="Σταθερή Παραγωγή στο Μέγιστο" sheetId="2" r:id="rId2"/>
    <sheet name="Παραγωγή με Υπερωρίες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3" l="1"/>
  <c r="G4" i="1" l="1"/>
  <c r="G5" i="1"/>
  <c r="G6" i="1"/>
  <c r="G7" i="1"/>
  <c r="G8" i="1"/>
  <c r="G9" i="1"/>
  <c r="G10" i="1"/>
  <c r="G11" i="1"/>
  <c r="G12" i="1"/>
  <c r="G13" i="1"/>
  <c r="G14" i="1"/>
  <c r="G15" i="1"/>
  <c r="R15" i="3" l="1"/>
  <c r="U4" i="3"/>
  <c r="J15" i="3"/>
  <c r="G15" i="3"/>
  <c r="J14" i="3"/>
  <c r="G14" i="3"/>
  <c r="J13" i="3"/>
  <c r="G13" i="3"/>
  <c r="J12" i="3"/>
  <c r="G12" i="3"/>
  <c r="J11" i="3"/>
  <c r="G11" i="3"/>
  <c r="J10" i="3"/>
  <c r="G10" i="3"/>
  <c r="J9" i="3"/>
  <c r="G9" i="3"/>
  <c r="J8" i="3"/>
  <c r="G8" i="3"/>
  <c r="J7" i="3"/>
  <c r="G7" i="3"/>
  <c r="J6" i="3"/>
  <c r="G6" i="3"/>
  <c r="J5" i="3"/>
  <c r="G5" i="3"/>
  <c r="G4" i="3"/>
  <c r="F4" i="3"/>
  <c r="D4" i="3"/>
  <c r="D5" i="3" s="1"/>
  <c r="D6" i="3" s="1"/>
  <c r="D7" i="3" s="1"/>
  <c r="D8" i="3" s="1"/>
  <c r="D9" i="3" s="1"/>
  <c r="D10" i="3" s="1"/>
  <c r="D11" i="3" s="1"/>
  <c r="D12" i="3" s="1"/>
  <c r="D13" i="3" s="1"/>
  <c r="D14" i="3" s="1"/>
  <c r="D15" i="3" s="1"/>
  <c r="I15" i="2"/>
  <c r="G15" i="2"/>
  <c r="I14" i="2"/>
  <c r="G14" i="2"/>
  <c r="I13" i="2"/>
  <c r="G13" i="2"/>
  <c r="I12" i="2"/>
  <c r="G12" i="2"/>
  <c r="I11" i="2"/>
  <c r="G11" i="2"/>
  <c r="I10" i="2"/>
  <c r="G10" i="2"/>
  <c r="I9" i="2"/>
  <c r="G9" i="2"/>
  <c r="I8" i="2"/>
  <c r="G8" i="2"/>
  <c r="I7" i="2"/>
  <c r="G7" i="2"/>
  <c r="I6" i="2"/>
  <c r="G6" i="2"/>
  <c r="I5" i="2"/>
  <c r="G5" i="2"/>
  <c r="I4" i="2"/>
  <c r="G4" i="2"/>
  <c r="F4" i="2"/>
  <c r="D4" i="2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H4" i="3" l="1"/>
  <c r="I4" i="3" s="1"/>
  <c r="F5" i="3"/>
  <c r="H5" i="3" s="1"/>
  <c r="H4" i="2"/>
  <c r="F5" i="2"/>
  <c r="I4" i="1"/>
  <c r="K4" i="3" l="1"/>
  <c r="M4" i="3" s="1"/>
  <c r="V4" i="3" s="1"/>
  <c r="I5" i="3"/>
  <c r="F6" i="3"/>
  <c r="H6" i="3" s="1"/>
  <c r="H5" i="2"/>
  <c r="F6" i="2"/>
  <c r="I15" i="1"/>
  <c r="I14" i="1"/>
  <c r="I13" i="1"/>
  <c r="I12" i="1"/>
  <c r="I11" i="1"/>
  <c r="I10" i="1"/>
  <c r="I9" i="1"/>
  <c r="I8" i="1"/>
  <c r="I7" i="1"/>
  <c r="I6" i="1"/>
  <c r="I5" i="1"/>
  <c r="F4" i="1"/>
  <c r="D4" i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L4" i="3" l="1"/>
  <c r="K5" i="3"/>
  <c r="L5" i="3" s="1"/>
  <c r="M5" i="3"/>
  <c r="V5" i="3" s="1"/>
  <c r="F7" i="3"/>
  <c r="H7" i="3" s="1"/>
  <c r="I6" i="3"/>
  <c r="F7" i="2"/>
  <c r="H6" i="2"/>
  <c r="F5" i="1"/>
  <c r="H4" i="1"/>
  <c r="K6" i="3" l="1"/>
  <c r="L6" i="3"/>
  <c r="M6" i="3"/>
  <c r="V6" i="3" s="1"/>
  <c r="F8" i="3"/>
  <c r="H8" i="3" s="1"/>
  <c r="I7" i="3"/>
  <c r="F8" i="2"/>
  <c r="H7" i="2"/>
  <c r="F6" i="1"/>
  <c r="H5" i="1"/>
  <c r="K7" i="3" l="1"/>
  <c r="M7" i="3" s="1"/>
  <c r="V7" i="3" s="1"/>
  <c r="L7" i="3"/>
  <c r="F9" i="3"/>
  <c r="H9" i="3" s="1"/>
  <c r="I8" i="3"/>
  <c r="F9" i="2"/>
  <c r="H8" i="2"/>
  <c r="F7" i="1"/>
  <c r="H6" i="1"/>
  <c r="K8" i="3" l="1"/>
  <c r="L8" i="3" s="1"/>
  <c r="F10" i="3"/>
  <c r="H10" i="3" s="1"/>
  <c r="I9" i="3"/>
  <c r="F10" i="2"/>
  <c r="H9" i="2"/>
  <c r="F8" i="1"/>
  <c r="H7" i="1"/>
  <c r="M8" i="3" l="1"/>
  <c r="V8" i="3" s="1"/>
  <c r="K9" i="3"/>
  <c r="L9" i="3" s="1"/>
  <c r="I10" i="3"/>
  <c r="F11" i="3"/>
  <c r="H11" i="3" s="1"/>
  <c r="H10" i="2"/>
  <c r="F11" i="2"/>
  <c r="F9" i="1"/>
  <c r="H8" i="1"/>
  <c r="K10" i="3" l="1"/>
  <c r="M9" i="3"/>
  <c r="V9" i="3" s="1"/>
  <c r="L10" i="3"/>
  <c r="M10" i="3"/>
  <c r="V10" i="3" s="1"/>
  <c r="F12" i="3"/>
  <c r="H12" i="3" s="1"/>
  <c r="I11" i="3"/>
  <c r="F12" i="2"/>
  <c r="H11" i="2"/>
  <c r="F10" i="1"/>
  <c r="H9" i="1"/>
  <c r="K11" i="3" l="1"/>
  <c r="L11" i="3" s="1"/>
  <c r="I12" i="3"/>
  <c r="F13" i="3"/>
  <c r="H13" i="3" s="1"/>
  <c r="H12" i="2"/>
  <c r="F13" i="2"/>
  <c r="F11" i="1"/>
  <c r="H10" i="1"/>
  <c r="K12" i="3" l="1"/>
  <c r="M11" i="3"/>
  <c r="V11" i="3" s="1"/>
  <c r="M12" i="3"/>
  <c r="V12" i="3" s="1"/>
  <c r="L12" i="3"/>
  <c r="I13" i="3"/>
  <c r="F14" i="3"/>
  <c r="H14" i="3" s="1"/>
  <c r="H13" i="2"/>
  <c r="F14" i="2"/>
  <c r="F12" i="1"/>
  <c r="H11" i="1"/>
  <c r="K13" i="3" l="1"/>
  <c r="L13" i="3" s="1"/>
  <c r="I14" i="3"/>
  <c r="F15" i="3"/>
  <c r="H15" i="3" s="1"/>
  <c r="H14" i="2"/>
  <c r="F15" i="2"/>
  <c r="H15" i="2" s="1"/>
  <c r="F13" i="1"/>
  <c r="H12" i="1"/>
  <c r="M13" i="3" l="1"/>
  <c r="V13" i="3" s="1"/>
  <c r="K14" i="3"/>
  <c r="L14" i="3" s="1"/>
  <c r="M14" i="3"/>
  <c r="V14" i="3" s="1"/>
  <c r="G17" i="3"/>
  <c r="F17" i="3"/>
  <c r="I15" i="3"/>
  <c r="G17" i="2"/>
  <c r="F17" i="2"/>
  <c r="F14" i="1"/>
  <c r="H13" i="1"/>
  <c r="K15" i="3" l="1"/>
  <c r="L15" i="3" s="1"/>
  <c r="J12" i="2"/>
  <c r="J9" i="2"/>
  <c r="J7" i="2"/>
  <c r="J14" i="2"/>
  <c r="J10" i="2"/>
  <c r="J5" i="2"/>
  <c r="J15" i="2"/>
  <c r="J11" i="2"/>
  <c r="J6" i="2"/>
  <c r="J8" i="2"/>
  <c r="J13" i="2"/>
  <c r="J4" i="2"/>
  <c r="F15" i="1"/>
  <c r="H15" i="1" s="1"/>
  <c r="H14" i="1"/>
  <c r="L17" i="3" l="1"/>
  <c r="M15" i="3"/>
  <c r="K4" i="2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F17" i="1"/>
  <c r="G17" i="1"/>
  <c r="L4" i="2" l="1"/>
  <c r="M4" i="2" s="1"/>
  <c r="J6" i="1"/>
  <c r="J7" i="1"/>
  <c r="M17" i="3"/>
  <c r="M19" i="3" s="1"/>
  <c r="V15" i="3"/>
  <c r="V17" i="3" s="1"/>
  <c r="L6" i="2"/>
  <c r="N6" i="2" s="1"/>
  <c r="L5" i="2"/>
  <c r="M5" i="2" s="1"/>
  <c r="L7" i="2"/>
  <c r="J12" i="1"/>
  <c r="J8" i="1"/>
  <c r="J4" i="1"/>
  <c r="J10" i="1"/>
  <c r="J9" i="1"/>
  <c r="J15" i="1"/>
  <c r="J11" i="1"/>
  <c r="J14" i="1"/>
  <c r="J13" i="1"/>
  <c r="J5" i="1"/>
  <c r="N4" i="2" l="1"/>
  <c r="K4" i="1"/>
  <c r="L4" i="1" s="1"/>
  <c r="J16" i="1"/>
  <c r="N5" i="2"/>
  <c r="M6" i="2"/>
  <c r="K5" i="1"/>
  <c r="L5" i="1" s="1"/>
  <c r="M5" i="1" s="1"/>
  <c r="L8" i="2"/>
  <c r="M4" i="1"/>
  <c r="K6" i="1" l="1"/>
  <c r="L6" i="1" s="1"/>
  <c r="L9" i="2"/>
  <c r="N7" i="2"/>
  <c r="M7" i="2"/>
  <c r="K7" i="1" l="1"/>
  <c r="K8" i="1" s="1"/>
  <c r="L10" i="2"/>
  <c r="N8" i="2"/>
  <c r="M8" i="2"/>
  <c r="M6" i="1"/>
  <c r="L7" i="1" l="1"/>
  <c r="M7" i="1" s="1"/>
  <c r="L11" i="2"/>
  <c r="N9" i="2"/>
  <c r="M9" i="2"/>
  <c r="K9" i="1"/>
  <c r="L8" i="1"/>
  <c r="L12" i="2" l="1"/>
  <c r="M10" i="2"/>
  <c r="N10" i="2"/>
  <c r="M8" i="1"/>
  <c r="K10" i="1"/>
  <c r="L9" i="1"/>
  <c r="L13" i="2" l="1"/>
  <c r="N11" i="2"/>
  <c r="M11" i="2"/>
  <c r="M9" i="1"/>
  <c r="K11" i="1"/>
  <c r="L10" i="1"/>
  <c r="L14" i="2" l="1"/>
  <c r="M12" i="2"/>
  <c r="N12" i="2"/>
  <c r="K12" i="1"/>
  <c r="L11" i="1"/>
  <c r="M10" i="1"/>
  <c r="L15" i="2" l="1"/>
  <c r="N13" i="2"/>
  <c r="M13" i="2"/>
  <c r="M11" i="1"/>
  <c r="K13" i="1"/>
  <c r="L12" i="1"/>
  <c r="N15" i="2" l="1"/>
  <c r="M15" i="2"/>
  <c r="M14" i="2"/>
  <c r="N14" i="2"/>
  <c r="K14" i="1"/>
  <c r="L13" i="1"/>
  <c r="M12" i="1"/>
  <c r="M17" i="2" l="1"/>
  <c r="N17" i="2"/>
  <c r="H17" i="2" s="1"/>
  <c r="O4" i="2" s="1"/>
  <c r="P4" i="2" s="1"/>
  <c r="Q4" i="2" s="1"/>
  <c r="M13" i="1"/>
  <c r="K15" i="1"/>
  <c r="L15" i="1" s="1"/>
  <c r="L14" i="1"/>
  <c r="O12" i="2" l="1"/>
  <c r="O14" i="2"/>
  <c r="O10" i="2"/>
  <c r="O5" i="2"/>
  <c r="O15" i="2"/>
  <c r="O11" i="2"/>
  <c r="O8" i="2"/>
  <c r="O6" i="2"/>
  <c r="O13" i="2"/>
  <c r="O9" i="2"/>
  <c r="O7" i="2"/>
  <c r="M15" i="1"/>
  <c r="M14" i="1"/>
  <c r="M17" i="1" l="1"/>
  <c r="P5" i="2"/>
  <c r="R4" i="2"/>
  <c r="P6" i="2" l="1"/>
  <c r="Q5" i="2"/>
  <c r="R5" i="2" s="1"/>
  <c r="Q6" i="2" l="1"/>
  <c r="R6" i="2" s="1"/>
  <c r="P7" i="2"/>
  <c r="P8" i="2" l="1"/>
  <c r="Q7" i="2"/>
  <c r="R7" i="2" s="1"/>
  <c r="P9" i="2" l="1"/>
  <c r="Q8" i="2"/>
  <c r="R8" i="2" s="1"/>
  <c r="P10" i="2" l="1"/>
  <c r="Q9" i="2"/>
  <c r="R9" i="2" s="1"/>
  <c r="P11" i="2" l="1"/>
  <c r="Q10" i="2"/>
  <c r="R10" i="2" s="1"/>
  <c r="P12" i="2" l="1"/>
  <c r="Q11" i="2"/>
  <c r="R11" i="2" s="1"/>
  <c r="P13" i="2" l="1"/>
  <c r="Q12" i="2"/>
  <c r="R12" i="2" s="1"/>
  <c r="P14" i="2" l="1"/>
  <c r="Q13" i="2"/>
  <c r="R13" i="2" s="1"/>
  <c r="P15" i="2" l="1"/>
  <c r="Q15" i="2" s="1"/>
  <c r="R15" i="2" s="1"/>
  <c r="Q14" i="2"/>
  <c r="R14" i="2" s="1"/>
  <c r="R17" i="2" l="1"/>
  <c r="O7" i="3" l="1"/>
  <c r="R7" i="3" s="1"/>
  <c r="S15" i="3"/>
  <c r="U15" i="3" s="1"/>
  <c r="O14" i="3"/>
  <c r="R14" i="3"/>
  <c r="S14" i="3" s="1"/>
  <c r="U14" i="3" s="1"/>
  <c r="O13" i="3"/>
  <c r="R13" i="3"/>
  <c r="O12" i="3"/>
  <c r="R12" i="3" s="1"/>
  <c r="O11" i="3"/>
  <c r="R11" i="3"/>
  <c r="O10" i="3"/>
  <c r="R10" i="3" s="1"/>
  <c r="O9" i="3"/>
  <c r="R9" i="3"/>
  <c r="S9" i="3"/>
  <c r="U9" i="3"/>
  <c r="O8" i="3"/>
  <c r="R8" i="3"/>
  <c r="S8" i="3" l="1"/>
  <c r="U8" i="3" s="1"/>
  <c r="S12" i="3"/>
  <c r="U12" i="3" s="1"/>
  <c r="S13" i="3"/>
  <c r="U13" i="3" s="1"/>
  <c r="S10" i="3"/>
  <c r="U10" i="3" s="1"/>
  <c r="S11" i="3"/>
  <c r="U11" i="3" s="1"/>
  <c r="N6" i="3"/>
  <c r="N5" i="3" s="1"/>
  <c r="O15" i="3"/>
  <c r="N4" i="3" l="1"/>
  <c r="O4" i="3" s="1"/>
  <c r="O5" i="3"/>
  <c r="R5" i="3" s="1"/>
  <c r="O6" i="3"/>
  <c r="R6" i="3" s="1"/>
  <c r="S6" i="3" l="1"/>
  <c r="U6" i="3" s="1"/>
  <c r="S7" i="3"/>
  <c r="U7" i="3" s="1"/>
  <c r="P4" i="3"/>
  <c r="R4" i="3"/>
  <c r="S5" i="3" s="1"/>
  <c r="U5" i="3" s="1"/>
  <c r="U17" i="3" s="1"/>
  <c r="Q4" i="3" l="1"/>
  <c r="T4" i="3" s="1"/>
  <c r="P5" i="3"/>
  <c r="P6" i="3" l="1"/>
  <c r="Q5" i="3"/>
  <c r="T5" i="3" s="1"/>
  <c r="P7" i="3" l="1"/>
  <c r="Q6" i="3"/>
  <c r="T6" i="3" s="1"/>
  <c r="P8" i="3" l="1"/>
  <c r="Q7" i="3"/>
  <c r="T7" i="3" s="1"/>
  <c r="Q8" i="3" l="1"/>
  <c r="T8" i="3" s="1"/>
  <c r="P9" i="3"/>
  <c r="Q9" i="3" l="1"/>
  <c r="T9" i="3" s="1"/>
  <c r="P10" i="3"/>
  <c r="Q10" i="3" l="1"/>
  <c r="T10" i="3" s="1"/>
  <c r="P11" i="3"/>
  <c r="P12" i="3" l="1"/>
  <c r="Q11" i="3"/>
  <c r="T11" i="3" s="1"/>
  <c r="P13" i="3" l="1"/>
  <c r="Q12" i="3"/>
  <c r="T12" i="3" s="1"/>
  <c r="P14" i="3" l="1"/>
  <c r="Q13" i="3"/>
  <c r="T13" i="3" s="1"/>
  <c r="P15" i="3" l="1"/>
  <c r="Q15" i="3" s="1"/>
  <c r="T15" i="3" s="1"/>
  <c r="Q14" i="3"/>
  <c r="T14" i="3" s="1"/>
  <c r="T17" i="3" l="1"/>
  <c r="V1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Dimitrios Emiris</author>
  </authors>
  <commentList>
    <comment ref="R1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Dimitrios Emiris:</t>
        </r>
        <r>
          <rPr>
            <sz val="9"/>
            <color indexed="81"/>
            <rFont val="Tahoma"/>
            <family val="2"/>
          </rPr>
          <t xml:space="preserve">
Προσοχή, εδώ παράγουμε το απόθεμα για τον επόμενο κύκλο, δηλαδή 230 τμχ.</t>
        </r>
      </text>
    </comment>
    <comment ref="M1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Dimitrios Emiris:</t>
        </r>
        <r>
          <rPr>
            <sz val="9"/>
            <color indexed="81"/>
            <rFont val="Tahoma"/>
            <family val="2"/>
          </rPr>
          <t xml:space="preserve">
Συνολική κάλυψη από μέγιστη παραγωγή</t>
        </r>
      </text>
    </comment>
  </commentList>
</comments>
</file>

<file path=xl/sharedStrings.xml><?xml version="1.0" encoding="utf-8"?>
<sst xmlns="http://schemas.openxmlformats.org/spreadsheetml/2006/main" count="104" uniqueCount="47">
  <si>
    <t>Μήνας</t>
  </si>
  <si>
    <t>Ζήτηση</t>
  </si>
  <si>
    <t>Σωρευτική ζήτηση</t>
  </si>
  <si>
    <t>Απόθεμα ασφαλείας</t>
  </si>
  <si>
    <t>Σωρευτικές απαιτήσεις</t>
  </si>
  <si>
    <t>Ζήτηση ανά ημέρα παραγωγής</t>
  </si>
  <si>
    <t>Ημέρες παραγωγής</t>
  </si>
  <si>
    <t>Ημέρες παραγωγής σωρευτικά</t>
  </si>
  <si>
    <t>(1)</t>
  </si>
  <si>
    <t>(2)</t>
  </si>
  <si>
    <t>(4)</t>
  </si>
  <si>
    <t>(7)=(5)+(6)</t>
  </si>
  <si>
    <t>(5)=Σ(4)</t>
  </si>
  <si>
    <t>(3)=Σ(2)</t>
  </si>
  <si>
    <t>(6)=(4)/2</t>
  </si>
  <si>
    <t>Αρχικό απόθεμα (τμχ.)</t>
  </si>
  <si>
    <t>Παραγωγική ικανότητα (τμχ./ημέρα)</t>
  </si>
  <si>
    <t>Κόστος αύξησης παραγωγικής ικανότητας (€/τμχ.)</t>
  </si>
  <si>
    <t>Κόστος αποθεματοποίησης (€/τμχ./μήνα)</t>
  </si>
  <si>
    <t>Κόστος υποαποθέματος (€/τμχ.)</t>
  </si>
  <si>
    <t>Κόστος μεταβολής επιπέδου παραγωγής (€/τμχ.)</t>
  </si>
  <si>
    <t>Ποσοστό αύξησης παραγωγικής ικανότητας</t>
  </si>
  <si>
    <t>Μέση παραγωγή (τμχ./ημέρα)</t>
  </si>
  <si>
    <t>Μηνιαία παραγωγή</t>
  </si>
  <si>
    <t>Διαθέσιμη ποσότητα</t>
  </si>
  <si>
    <t>Διαφορά</t>
  </si>
  <si>
    <t>(9)=(2)*F17</t>
  </si>
  <si>
    <t>(10)=Σ(9)+G25</t>
  </si>
  <si>
    <t>(11)=(10)-(7)</t>
  </si>
  <si>
    <t>Κόστος αποθέματος &amp; υποαποθέματος</t>
  </si>
  <si>
    <t>Αρνητικές διαφορές</t>
  </si>
  <si>
    <t>(8)=(4)/(2)</t>
  </si>
  <si>
    <t>Απαιτήσεις παραγωγής</t>
  </si>
  <si>
    <t>Μέγιστη μηνιαία παραγωγή</t>
  </si>
  <si>
    <t>Διαφορά μέγιστης-απαιτήσεις</t>
  </si>
  <si>
    <t>Αρχική Έλλειψη Προϊόντων</t>
  </si>
  <si>
    <t>Κάλυψη από Υπερωριακή παραγωγή</t>
  </si>
  <si>
    <t>Κάλυψη από Μέγιστη Παραγωγή</t>
  </si>
  <si>
    <t>Διαθέσιμη Ποσότητα Σωρευτικά</t>
  </si>
  <si>
    <t>Απόθεμα Επόμενου Μήνα</t>
  </si>
  <si>
    <t>Μηνιαία Κανονική Παραγωγή</t>
  </si>
  <si>
    <t>Μέση Ημερήσια Κανονική Παραγωγή</t>
  </si>
  <si>
    <t>Μεταβολή Ρυθμού</t>
  </si>
  <si>
    <t>Κόστος Μεταβολής Ρυθμού</t>
  </si>
  <si>
    <t>Κόστος Υπερωριακής Παραγωγής</t>
  </si>
  <si>
    <t>ΣΥΝΟΛΟ ΚΟΣΤΟΥΣ</t>
  </si>
  <si>
    <t>(9)=(2)*$F$17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</si>
</sst>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[$€-408]"/>
    <numFmt numFmtId="166" formatCode="0.00_);[Red]\(0.0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mbria"/>
      <family val="1"/>
    </font>
    <font>
      <sz val="11"/>
      <color rgb="FF0070C0"/>
      <name val="Cambria"/>
      <family val="1"/>
    </font>
    <font>
      <b/>
      <sz val="11"/>
      <color theme="1"/>
      <name val="Cambria"/>
      <family val="1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165" fontId="1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quotePrefix="1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quotePrefix="1" applyFont="1" applyFill="1" applyAlignment="1">
      <alignment vertical="center"/>
    </xf>
    <xf numFmtId="2" fontId="1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4" fontId="2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2" fontId="1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1" fillId="3" borderId="0" xfId="0" quotePrefix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1" fontId="6" fillId="0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vertical="center"/>
    </xf>
    <xf numFmtId="2" fontId="1" fillId="4" borderId="0" xfId="0" applyNumberFormat="1" applyFont="1" applyFill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8"/>
  <sheetViews>
    <sheetView tabSelected="1" zoomScale="90" zoomScaleNormal="90" workbookViewId="0">
      <selection activeCell="L2" sqref="L2"/>
    </sheetView>
  </sheetViews>
  <sheetFormatPr defaultColWidth="13.26953125" defaultRowHeight="14" x14ac:dyDescent="0.35"/>
  <cols>
    <col min="1" max="1" width="3.26953125" style="4" customWidth="1"/>
    <col min="2" max="2" width="8.453125" style="4" customWidth="1"/>
    <col min="3" max="4" width="13.26953125" style="4"/>
    <col min="5" max="5" width="7.81640625" style="4" bestFit="1" customWidth="1"/>
    <col min="6" max="6" width="11.81640625" style="4" customWidth="1"/>
    <col min="7" max="7" width="11.1796875" style="4" bestFit="1" customWidth="1"/>
    <col min="8" max="8" width="11.81640625" style="16" bestFit="1" customWidth="1"/>
    <col min="9" max="9" width="15.26953125" style="4" customWidth="1"/>
    <col min="10" max="10" width="14.54296875" style="4" customWidth="1"/>
    <col min="11" max="11" width="15" style="16" customWidth="1"/>
    <col min="12" max="12" width="13.26953125" style="4"/>
    <col min="13" max="13" width="16.7265625" style="4" customWidth="1"/>
    <col min="14" max="16384" width="13.26953125" style="4"/>
  </cols>
  <sheetData>
    <row r="2" spans="2:13" ht="42" x14ac:dyDescent="0.35">
      <c r="B2" s="1" t="s">
        <v>0</v>
      </c>
      <c r="C2" s="1" t="s">
        <v>6</v>
      </c>
      <c r="D2" s="1" t="s">
        <v>7</v>
      </c>
      <c r="E2" s="1" t="s">
        <v>1</v>
      </c>
      <c r="F2" s="1" t="s">
        <v>2</v>
      </c>
      <c r="G2" s="1" t="s">
        <v>3</v>
      </c>
      <c r="H2" s="12" t="s">
        <v>4</v>
      </c>
      <c r="I2" s="1" t="s">
        <v>5</v>
      </c>
      <c r="J2" s="1" t="s">
        <v>23</v>
      </c>
      <c r="K2" s="12" t="s">
        <v>24</v>
      </c>
      <c r="L2" s="1" t="s">
        <v>25</v>
      </c>
      <c r="M2" s="1" t="s">
        <v>29</v>
      </c>
    </row>
    <row r="3" spans="2:13" x14ac:dyDescent="0.35">
      <c r="B3" s="28" t="s">
        <v>8</v>
      </c>
      <c r="C3" s="28" t="s">
        <v>9</v>
      </c>
      <c r="D3" s="28" t="s">
        <v>13</v>
      </c>
      <c r="E3" s="28" t="s">
        <v>10</v>
      </c>
      <c r="F3" s="28" t="s">
        <v>12</v>
      </c>
      <c r="G3" s="28" t="s">
        <v>14</v>
      </c>
      <c r="H3" s="28" t="s">
        <v>11</v>
      </c>
      <c r="I3" s="28" t="s">
        <v>31</v>
      </c>
      <c r="J3" s="2" t="s">
        <v>46</v>
      </c>
      <c r="K3" s="17" t="s">
        <v>27</v>
      </c>
      <c r="L3" s="9" t="s">
        <v>28</v>
      </c>
    </row>
    <row r="4" spans="2:13" x14ac:dyDescent="0.35">
      <c r="B4" s="3">
        <v>1</v>
      </c>
      <c r="C4" s="34">
        <v>22</v>
      </c>
      <c r="D4" s="3">
        <f>C4</f>
        <v>22</v>
      </c>
      <c r="E4" s="35">
        <v>300</v>
      </c>
      <c r="F4" s="6">
        <f>E4</f>
        <v>300</v>
      </c>
      <c r="G4" s="3">
        <f>E4/2</f>
        <v>150</v>
      </c>
      <c r="H4" s="38">
        <f>F4+G4</f>
        <v>450</v>
      </c>
      <c r="I4" s="5">
        <f>E4/C4</f>
        <v>13.636363636363637</v>
      </c>
      <c r="J4" s="5">
        <f>C4*$F$17</f>
        <v>545.49180327868851</v>
      </c>
      <c r="K4" s="37">
        <f>J4+G25</f>
        <v>775.49180327868851</v>
      </c>
      <c r="L4" s="19">
        <f t="shared" ref="L4:L15" si="0">K4-H4</f>
        <v>325.49180327868851</v>
      </c>
      <c r="M4" s="10">
        <f>IF(L4&gt;0,L4*$G$26,ABS(L4*$G$27))</f>
        <v>6509.8360655737706</v>
      </c>
    </row>
    <row r="5" spans="2:13" x14ac:dyDescent="0.35">
      <c r="B5" s="3">
        <v>2</v>
      </c>
      <c r="C5" s="34">
        <v>20</v>
      </c>
      <c r="D5" s="3">
        <f>D4+C5</f>
        <v>42</v>
      </c>
      <c r="E5" s="35">
        <v>400</v>
      </c>
      <c r="F5" s="6">
        <f>F4+E5</f>
        <v>700</v>
      </c>
      <c r="G5" s="3">
        <f t="shared" ref="G5:G15" si="1">E5/2</f>
        <v>200</v>
      </c>
      <c r="H5" s="38">
        <f t="shared" ref="H5:H15" si="2">F5+G5</f>
        <v>900</v>
      </c>
      <c r="I5" s="5">
        <f t="shared" ref="I5:I15" si="3">E5/C5</f>
        <v>20</v>
      </c>
      <c r="J5" s="5">
        <f t="shared" ref="J5:J15" si="4">C5*$F$17</f>
        <v>495.90163934426232</v>
      </c>
      <c r="K5" s="37">
        <f>J5+K4</f>
        <v>1271.3934426229507</v>
      </c>
      <c r="L5" s="19">
        <f t="shared" si="0"/>
        <v>371.39344262295072</v>
      </c>
      <c r="M5" s="10">
        <f t="shared" ref="M5:M15" si="5">IF(L5&gt;0,L5*$G$26,ABS(L5*$G$27))</f>
        <v>7427.8688524590143</v>
      </c>
    </row>
    <row r="6" spans="2:13" x14ac:dyDescent="0.35">
      <c r="B6" s="3">
        <v>3</v>
      </c>
      <c r="C6" s="34">
        <v>23</v>
      </c>
      <c r="D6" s="3">
        <f t="shared" ref="D6:D15" si="6">D5+C6</f>
        <v>65</v>
      </c>
      <c r="E6" s="35">
        <v>600</v>
      </c>
      <c r="F6" s="6">
        <f t="shared" ref="F6:F15" si="7">F5+E6</f>
        <v>1300</v>
      </c>
      <c r="G6" s="3">
        <f t="shared" si="1"/>
        <v>300</v>
      </c>
      <c r="H6" s="38">
        <f t="shared" si="2"/>
        <v>1600</v>
      </c>
      <c r="I6" s="5">
        <f t="shared" si="3"/>
        <v>26.086956521739129</v>
      </c>
      <c r="J6" s="5">
        <f>C6*$F$17</f>
        <v>570.28688524590166</v>
      </c>
      <c r="K6" s="37">
        <f t="shared" ref="K6:K15" si="8">J6+K5</f>
        <v>1841.6803278688524</v>
      </c>
      <c r="L6" s="19">
        <f t="shared" si="0"/>
        <v>241.68032786885237</v>
      </c>
      <c r="M6" s="10">
        <f t="shared" si="5"/>
        <v>4833.6065573770475</v>
      </c>
    </row>
    <row r="7" spans="2:13" x14ac:dyDescent="0.35">
      <c r="B7" s="3">
        <v>4</v>
      </c>
      <c r="C7" s="34">
        <v>19</v>
      </c>
      <c r="D7" s="3">
        <f t="shared" si="6"/>
        <v>84</v>
      </c>
      <c r="E7" s="35">
        <v>800</v>
      </c>
      <c r="F7" s="6">
        <f t="shared" si="7"/>
        <v>2100</v>
      </c>
      <c r="G7" s="3">
        <f t="shared" si="1"/>
        <v>400</v>
      </c>
      <c r="H7" s="38">
        <f t="shared" si="2"/>
        <v>2500</v>
      </c>
      <c r="I7" s="5">
        <f t="shared" si="3"/>
        <v>42.10526315789474</v>
      </c>
      <c r="J7" s="5">
        <f>C7*$F$17</f>
        <v>471.10655737704917</v>
      </c>
      <c r="K7" s="37">
        <f t="shared" si="8"/>
        <v>2312.7868852459014</v>
      </c>
      <c r="L7" s="19">
        <f t="shared" si="0"/>
        <v>-187.21311475409857</v>
      </c>
      <c r="M7" s="10">
        <f t="shared" si="5"/>
        <v>18721.311475409857</v>
      </c>
    </row>
    <row r="8" spans="2:13" x14ac:dyDescent="0.35">
      <c r="B8" s="3">
        <v>5</v>
      </c>
      <c r="C8" s="34">
        <v>22</v>
      </c>
      <c r="D8" s="3">
        <f t="shared" si="6"/>
        <v>106</v>
      </c>
      <c r="E8" s="35">
        <v>900</v>
      </c>
      <c r="F8" s="6">
        <f t="shared" si="7"/>
        <v>3000</v>
      </c>
      <c r="G8" s="3">
        <f t="shared" si="1"/>
        <v>450</v>
      </c>
      <c r="H8" s="38">
        <f t="shared" si="2"/>
        <v>3450</v>
      </c>
      <c r="I8" s="5">
        <f t="shared" si="3"/>
        <v>40.909090909090907</v>
      </c>
      <c r="J8" s="5">
        <f t="shared" si="4"/>
        <v>545.49180327868851</v>
      </c>
      <c r="K8" s="37">
        <f t="shared" si="8"/>
        <v>2858.2786885245901</v>
      </c>
      <c r="L8" s="19">
        <f t="shared" si="0"/>
        <v>-591.72131147540995</v>
      </c>
      <c r="M8" s="10">
        <f t="shared" si="5"/>
        <v>59172.131147540997</v>
      </c>
    </row>
    <row r="9" spans="2:13" x14ac:dyDescent="0.35">
      <c r="B9" s="3">
        <v>6</v>
      </c>
      <c r="C9" s="34">
        <v>22</v>
      </c>
      <c r="D9" s="3">
        <f t="shared" si="6"/>
        <v>128</v>
      </c>
      <c r="E9" s="35">
        <v>1100</v>
      </c>
      <c r="F9" s="6">
        <f t="shared" si="7"/>
        <v>4100</v>
      </c>
      <c r="G9" s="3">
        <f t="shared" si="1"/>
        <v>550</v>
      </c>
      <c r="H9" s="38">
        <f t="shared" si="2"/>
        <v>4650</v>
      </c>
      <c r="I9" s="5">
        <f t="shared" si="3"/>
        <v>50</v>
      </c>
      <c r="J9" s="5">
        <f t="shared" si="4"/>
        <v>545.49180327868851</v>
      </c>
      <c r="K9" s="37">
        <f t="shared" si="8"/>
        <v>3403.7704918032787</v>
      </c>
      <c r="L9" s="19">
        <f t="shared" si="0"/>
        <v>-1246.2295081967213</v>
      </c>
      <c r="M9" s="10">
        <f t="shared" si="5"/>
        <v>124622.95081967213</v>
      </c>
    </row>
    <row r="10" spans="2:13" x14ac:dyDescent="0.35">
      <c r="B10" s="3">
        <v>7</v>
      </c>
      <c r="C10" s="34">
        <v>20</v>
      </c>
      <c r="D10" s="3">
        <f t="shared" si="6"/>
        <v>148</v>
      </c>
      <c r="E10" s="35">
        <v>700</v>
      </c>
      <c r="F10" s="6">
        <f t="shared" si="7"/>
        <v>4800</v>
      </c>
      <c r="G10" s="3">
        <f t="shared" si="1"/>
        <v>350</v>
      </c>
      <c r="H10" s="38">
        <f t="shared" si="2"/>
        <v>5150</v>
      </c>
      <c r="I10" s="5">
        <f t="shared" si="3"/>
        <v>35</v>
      </c>
      <c r="J10" s="5">
        <f t="shared" si="4"/>
        <v>495.90163934426232</v>
      </c>
      <c r="K10" s="37">
        <f t="shared" si="8"/>
        <v>3899.6721311475412</v>
      </c>
      <c r="L10" s="19">
        <f t="shared" si="0"/>
        <v>-1250.3278688524588</v>
      </c>
      <c r="M10" s="10">
        <f t="shared" si="5"/>
        <v>125032.78688524588</v>
      </c>
    </row>
    <row r="11" spans="2:13" x14ac:dyDescent="0.35">
      <c r="B11" s="3">
        <v>8</v>
      </c>
      <c r="C11" s="34">
        <v>23</v>
      </c>
      <c r="D11" s="3">
        <f t="shared" si="6"/>
        <v>171</v>
      </c>
      <c r="E11" s="35">
        <v>400</v>
      </c>
      <c r="F11" s="6">
        <f t="shared" si="7"/>
        <v>5200</v>
      </c>
      <c r="G11" s="3">
        <f t="shared" si="1"/>
        <v>200</v>
      </c>
      <c r="H11" s="38">
        <f t="shared" si="2"/>
        <v>5400</v>
      </c>
      <c r="I11" s="5">
        <f t="shared" si="3"/>
        <v>17.391304347826086</v>
      </c>
      <c r="J11" s="5">
        <f t="shared" si="4"/>
        <v>570.28688524590166</v>
      </c>
      <c r="K11" s="37">
        <f t="shared" si="8"/>
        <v>4469.9590163934427</v>
      </c>
      <c r="L11" s="19">
        <f t="shared" si="0"/>
        <v>-930.04098360655735</v>
      </c>
      <c r="M11" s="10">
        <f t="shared" si="5"/>
        <v>93004.098360655742</v>
      </c>
    </row>
    <row r="12" spans="2:13" x14ac:dyDescent="0.35">
      <c r="B12" s="3">
        <v>9</v>
      </c>
      <c r="C12" s="34">
        <v>11</v>
      </c>
      <c r="D12" s="3">
        <f t="shared" si="6"/>
        <v>182</v>
      </c>
      <c r="E12" s="35">
        <v>300</v>
      </c>
      <c r="F12" s="6">
        <f t="shared" si="7"/>
        <v>5500</v>
      </c>
      <c r="G12" s="3">
        <f t="shared" si="1"/>
        <v>150</v>
      </c>
      <c r="H12" s="38">
        <f t="shared" si="2"/>
        <v>5650</v>
      </c>
      <c r="I12" s="5">
        <f t="shared" si="3"/>
        <v>27.272727272727273</v>
      </c>
      <c r="J12" s="5">
        <f t="shared" si="4"/>
        <v>272.74590163934425</v>
      </c>
      <c r="K12" s="37">
        <f t="shared" si="8"/>
        <v>4742.7049180327867</v>
      </c>
      <c r="L12" s="19">
        <f t="shared" si="0"/>
        <v>-907.29508196721326</v>
      </c>
      <c r="M12" s="10">
        <f t="shared" si="5"/>
        <v>90729.508196721319</v>
      </c>
    </row>
    <row r="13" spans="2:13" x14ac:dyDescent="0.35">
      <c r="B13" s="3">
        <v>10</v>
      </c>
      <c r="C13" s="34">
        <v>22</v>
      </c>
      <c r="D13" s="3">
        <f t="shared" si="6"/>
        <v>204</v>
      </c>
      <c r="E13" s="35">
        <v>200</v>
      </c>
      <c r="F13" s="6">
        <f t="shared" si="7"/>
        <v>5700</v>
      </c>
      <c r="G13" s="3">
        <f t="shared" si="1"/>
        <v>100</v>
      </c>
      <c r="H13" s="38">
        <f t="shared" si="2"/>
        <v>5800</v>
      </c>
      <c r="I13" s="5">
        <f t="shared" si="3"/>
        <v>9.0909090909090917</v>
      </c>
      <c r="J13" s="5">
        <f t="shared" si="4"/>
        <v>545.49180327868851</v>
      </c>
      <c r="K13" s="37">
        <f t="shared" si="8"/>
        <v>5288.1967213114749</v>
      </c>
      <c r="L13" s="19">
        <f t="shared" si="0"/>
        <v>-511.8032786885251</v>
      </c>
      <c r="M13" s="10">
        <f t="shared" si="5"/>
        <v>51180.32786885251</v>
      </c>
    </row>
    <row r="14" spans="2:13" x14ac:dyDescent="0.35">
      <c r="B14" s="3">
        <v>11</v>
      </c>
      <c r="C14" s="34">
        <v>22</v>
      </c>
      <c r="D14" s="3">
        <f t="shared" si="6"/>
        <v>226</v>
      </c>
      <c r="E14" s="35">
        <v>200</v>
      </c>
      <c r="F14" s="6">
        <f t="shared" si="7"/>
        <v>5900</v>
      </c>
      <c r="G14" s="3">
        <f t="shared" si="1"/>
        <v>100</v>
      </c>
      <c r="H14" s="38">
        <f t="shared" si="2"/>
        <v>6000</v>
      </c>
      <c r="I14" s="5">
        <f t="shared" si="3"/>
        <v>9.0909090909090917</v>
      </c>
      <c r="J14" s="5">
        <f t="shared" si="4"/>
        <v>545.49180327868851</v>
      </c>
      <c r="K14" s="37">
        <f t="shared" si="8"/>
        <v>5833.6885245901631</v>
      </c>
      <c r="L14" s="19">
        <f t="shared" si="0"/>
        <v>-166.31147540983693</v>
      </c>
      <c r="M14" s="10">
        <f t="shared" si="5"/>
        <v>16631.147540983693</v>
      </c>
    </row>
    <row r="15" spans="2:13" x14ac:dyDescent="0.35">
      <c r="B15" s="3">
        <v>12</v>
      </c>
      <c r="C15" s="34">
        <v>18</v>
      </c>
      <c r="D15" s="3">
        <f t="shared" si="6"/>
        <v>244</v>
      </c>
      <c r="E15" s="35">
        <v>100</v>
      </c>
      <c r="F15" s="6">
        <f t="shared" si="7"/>
        <v>6000</v>
      </c>
      <c r="G15" s="3">
        <f t="shared" si="1"/>
        <v>50</v>
      </c>
      <c r="H15" s="38">
        <f t="shared" si="2"/>
        <v>6050</v>
      </c>
      <c r="I15" s="5">
        <f t="shared" si="3"/>
        <v>5.5555555555555554</v>
      </c>
      <c r="J15" s="5">
        <f t="shared" si="4"/>
        <v>446.31147540983608</v>
      </c>
      <c r="K15" s="37">
        <f t="shared" si="8"/>
        <v>6279.9999999999991</v>
      </c>
      <c r="L15" s="19">
        <f t="shared" si="0"/>
        <v>229.99999999999909</v>
      </c>
      <c r="M15" s="10">
        <f t="shared" si="5"/>
        <v>4599.9999999999818</v>
      </c>
    </row>
    <row r="16" spans="2:13" x14ac:dyDescent="0.35">
      <c r="J16" s="8">
        <f>SUM(J4:J15)</f>
        <v>6049.9999999999991</v>
      </c>
    </row>
    <row r="17" spans="2:13" x14ac:dyDescent="0.35">
      <c r="B17" s="4" t="s">
        <v>22</v>
      </c>
      <c r="F17" s="22">
        <f>H15/D15</f>
        <v>24.795081967213115</v>
      </c>
      <c r="G17" s="8">
        <f>(H15-G25)/D15</f>
        <v>23.852459016393443</v>
      </c>
      <c r="H17" s="15"/>
      <c r="M17" s="23">
        <f>SUM(M4:M16)</f>
        <v>602465.57377049199</v>
      </c>
    </row>
    <row r="22" spans="2:13" x14ac:dyDescent="0.35">
      <c r="B22" s="4" t="s">
        <v>16</v>
      </c>
      <c r="G22" s="36">
        <v>35</v>
      </c>
    </row>
    <row r="23" spans="2:13" x14ac:dyDescent="0.35">
      <c r="B23" s="4" t="s">
        <v>17</v>
      </c>
      <c r="G23" s="4">
        <v>250</v>
      </c>
    </row>
    <row r="24" spans="2:13" x14ac:dyDescent="0.35">
      <c r="B24" s="4" t="s">
        <v>21</v>
      </c>
      <c r="G24" s="7">
        <v>0.2</v>
      </c>
    </row>
    <row r="25" spans="2:13" x14ac:dyDescent="0.35">
      <c r="B25" s="4" t="s">
        <v>15</v>
      </c>
      <c r="G25" s="36">
        <v>230</v>
      </c>
    </row>
    <row r="26" spans="2:13" x14ac:dyDescent="0.35">
      <c r="B26" s="4" t="s">
        <v>18</v>
      </c>
      <c r="G26" s="36">
        <v>20</v>
      </c>
    </row>
    <row r="27" spans="2:13" x14ac:dyDescent="0.35">
      <c r="B27" s="4" t="s">
        <v>19</v>
      </c>
      <c r="G27" s="36">
        <v>100</v>
      </c>
    </row>
    <row r="28" spans="2:13" x14ac:dyDescent="0.35">
      <c r="B28" s="4" t="s">
        <v>20</v>
      </c>
      <c r="G28" s="4">
        <v>12</v>
      </c>
    </row>
  </sheetData>
  <pageMargins left="0.7" right="0.7" top="0.75" bottom="0.75" header="0.3" footer="0.3"/>
  <pageSetup orientation="portrait" r:id="rId1"/>
  <ignoredErrors>
    <ignoredError sqref="E3 B3:C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R28"/>
  <sheetViews>
    <sheetView topLeftCell="F1" zoomScaleNormal="100" workbookViewId="0">
      <selection activeCell="R4" sqref="R4"/>
    </sheetView>
  </sheetViews>
  <sheetFormatPr defaultColWidth="13.26953125" defaultRowHeight="14" x14ac:dyDescent="0.35"/>
  <cols>
    <col min="1" max="1" width="3.26953125" style="4" customWidth="1"/>
    <col min="2" max="2" width="8.453125" style="4" customWidth="1"/>
    <col min="3" max="4" width="13.26953125" style="4"/>
    <col min="5" max="5" width="7.81640625" style="4" bestFit="1" customWidth="1"/>
    <col min="6" max="6" width="10.81640625" style="4" bestFit="1" customWidth="1"/>
    <col min="7" max="7" width="11.1796875" style="4" bestFit="1" customWidth="1"/>
    <col min="8" max="8" width="11.81640625" style="16" bestFit="1" customWidth="1"/>
    <col min="9" max="9" width="15.26953125" style="4" customWidth="1"/>
    <col min="10" max="10" width="12.1796875" style="4" customWidth="1"/>
    <col min="11" max="11" width="15" style="16" customWidth="1"/>
    <col min="12" max="12" width="13.26953125" style="4"/>
    <col min="13" max="13" width="16.7265625" style="4" customWidth="1"/>
    <col min="14" max="14" width="10.1796875" style="4" bestFit="1" customWidth="1"/>
    <col min="15" max="15" width="11" style="4" bestFit="1" customWidth="1"/>
    <col min="16" max="16" width="10.453125" style="16" bestFit="1" customWidth="1"/>
    <col min="17" max="17" width="9.26953125" style="4" bestFit="1" customWidth="1"/>
    <col min="18" max="18" width="15.7265625" style="4" customWidth="1"/>
    <col min="19" max="16384" width="13.26953125" style="4"/>
  </cols>
  <sheetData>
    <row r="2" spans="2:18" ht="42" x14ac:dyDescent="0.35">
      <c r="B2" s="1" t="s">
        <v>0</v>
      </c>
      <c r="C2" s="1" t="s">
        <v>6</v>
      </c>
      <c r="D2" s="1" t="s">
        <v>7</v>
      </c>
      <c r="E2" s="1" t="s">
        <v>1</v>
      </c>
      <c r="F2" s="1" t="s">
        <v>2</v>
      </c>
      <c r="G2" s="1" t="s">
        <v>3</v>
      </c>
      <c r="H2" s="12" t="s">
        <v>4</v>
      </c>
      <c r="I2" s="1" t="s">
        <v>5</v>
      </c>
      <c r="J2" s="1" t="s">
        <v>23</v>
      </c>
      <c r="K2" s="12" t="s">
        <v>24</v>
      </c>
      <c r="L2" s="1" t="s">
        <v>25</v>
      </c>
      <c r="M2" s="1" t="s">
        <v>29</v>
      </c>
      <c r="N2" s="1" t="s">
        <v>30</v>
      </c>
      <c r="O2" s="1" t="s">
        <v>23</v>
      </c>
      <c r="P2" s="12" t="s">
        <v>24</v>
      </c>
      <c r="Q2" s="1" t="s">
        <v>25</v>
      </c>
      <c r="R2" s="1" t="s">
        <v>29</v>
      </c>
    </row>
    <row r="3" spans="2:18" x14ac:dyDescent="0.35">
      <c r="B3" s="2" t="s">
        <v>8</v>
      </c>
      <c r="C3" s="2" t="s">
        <v>9</v>
      </c>
      <c r="D3" s="2" t="s">
        <v>13</v>
      </c>
      <c r="E3" s="2" t="s">
        <v>10</v>
      </c>
      <c r="F3" s="2" t="s">
        <v>12</v>
      </c>
      <c r="G3" s="2" t="s">
        <v>14</v>
      </c>
      <c r="H3" s="13" t="s">
        <v>11</v>
      </c>
      <c r="I3" s="2" t="s">
        <v>31</v>
      </c>
      <c r="J3" s="2" t="s">
        <v>26</v>
      </c>
      <c r="K3" s="17" t="s">
        <v>27</v>
      </c>
      <c r="L3" s="9" t="s">
        <v>28</v>
      </c>
    </row>
    <row r="4" spans="2:18" x14ac:dyDescent="0.35">
      <c r="B4" s="31">
        <v>1</v>
      </c>
      <c r="C4" s="31">
        <v>22</v>
      </c>
      <c r="D4" s="31">
        <f>C4</f>
        <v>22</v>
      </c>
      <c r="E4" s="32">
        <v>300</v>
      </c>
      <c r="F4" s="32">
        <f>E4</f>
        <v>300</v>
      </c>
      <c r="G4" s="31">
        <f>E4/2</f>
        <v>150</v>
      </c>
      <c r="H4" s="32">
        <f>F4+G4</f>
        <v>450</v>
      </c>
      <c r="I4" s="33">
        <f>E4/C4</f>
        <v>13.636363636363637</v>
      </c>
      <c r="J4" s="5">
        <f>C4*$F$17</f>
        <v>545.49180327868851</v>
      </c>
      <c r="K4" s="18">
        <f>J4+G25</f>
        <v>775.49180327868851</v>
      </c>
      <c r="L4" s="19">
        <f t="shared" ref="L4:L15" si="0">K4-H4</f>
        <v>325.49180327868851</v>
      </c>
      <c r="M4" s="10">
        <f t="shared" ref="M4:M15" si="1">IF(L4&gt;0,L4*$G$26,ABS(L4*$G$27))</f>
        <v>6509.8360655737706</v>
      </c>
      <c r="N4" s="39">
        <f t="shared" ref="N4:N15" si="2">IF(L4&gt;0,,ABS(L4/D4))</f>
        <v>0</v>
      </c>
      <c r="O4" s="8">
        <f t="shared" ref="O4:O15" si="3">C4*$H$17</f>
        <v>759.6875</v>
      </c>
      <c r="P4" s="15">
        <f>O4+G25</f>
        <v>989.6875</v>
      </c>
      <c r="Q4" s="8">
        <f t="shared" ref="Q4:Q15" si="4">P4-H4</f>
        <v>539.6875</v>
      </c>
      <c r="R4" s="10">
        <f>IF(Q4&gt;0,Q4*$G$26,ABS(Q4*$G$27))</f>
        <v>10793.75</v>
      </c>
    </row>
    <row r="5" spans="2:18" x14ac:dyDescent="0.35">
      <c r="B5" s="31">
        <v>2</v>
      </c>
      <c r="C5" s="31">
        <v>20</v>
      </c>
      <c r="D5" s="31">
        <f>D4+C5</f>
        <v>42</v>
      </c>
      <c r="E5" s="32">
        <v>400</v>
      </c>
      <c r="F5" s="32">
        <f>F4+E5</f>
        <v>700</v>
      </c>
      <c r="G5" s="31">
        <f t="shared" ref="G5:G15" si="5">E5/2</f>
        <v>200</v>
      </c>
      <c r="H5" s="32">
        <f t="shared" ref="H5:H15" si="6">F5+G5</f>
        <v>900</v>
      </c>
      <c r="I5" s="33">
        <f t="shared" ref="I5:I15" si="7">E5/C5</f>
        <v>20</v>
      </c>
      <c r="J5" s="5">
        <f t="shared" ref="J5:J15" si="8">C5*$F$17</f>
        <v>495.90163934426232</v>
      </c>
      <c r="K5" s="18">
        <f>J5+K4</f>
        <v>1271.3934426229507</v>
      </c>
      <c r="L5" s="19">
        <f t="shared" si="0"/>
        <v>371.39344262295072</v>
      </c>
      <c r="M5" s="10">
        <f t="shared" si="1"/>
        <v>7427.8688524590143</v>
      </c>
      <c r="N5" s="39">
        <f t="shared" si="2"/>
        <v>0</v>
      </c>
      <c r="O5" s="8">
        <f t="shared" si="3"/>
        <v>690.625</v>
      </c>
      <c r="P5" s="15">
        <f>P4+O5</f>
        <v>1680.3125</v>
      </c>
      <c r="Q5" s="8">
        <f t="shared" si="4"/>
        <v>780.3125</v>
      </c>
      <c r="R5" s="10">
        <f t="shared" ref="R5:R15" si="9">IF(Q5&gt;0,Q5*$G$26,ABS(Q5*$G$27))</f>
        <v>15606.25</v>
      </c>
    </row>
    <row r="6" spans="2:18" x14ac:dyDescent="0.35">
      <c r="B6" s="31">
        <v>3</v>
      </c>
      <c r="C6" s="31">
        <v>23</v>
      </c>
      <c r="D6" s="31">
        <f t="shared" ref="D6:D15" si="10">D5+C6</f>
        <v>65</v>
      </c>
      <c r="E6" s="32">
        <v>600</v>
      </c>
      <c r="F6" s="32">
        <f t="shared" ref="F6:F15" si="11">F5+E6</f>
        <v>1300</v>
      </c>
      <c r="G6" s="31">
        <f t="shared" si="5"/>
        <v>300</v>
      </c>
      <c r="H6" s="32">
        <f t="shared" si="6"/>
        <v>1600</v>
      </c>
      <c r="I6" s="33">
        <f t="shared" si="7"/>
        <v>26.086956521739129</v>
      </c>
      <c r="J6" s="5">
        <f t="shared" si="8"/>
        <v>570.28688524590166</v>
      </c>
      <c r="K6" s="18">
        <f t="shared" ref="K6:K15" si="12">J6+K5</f>
        <v>1841.6803278688524</v>
      </c>
      <c r="L6" s="19">
        <f t="shared" si="0"/>
        <v>241.68032786885237</v>
      </c>
      <c r="M6" s="10">
        <f t="shared" si="1"/>
        <v>4833.6065573770475</v>
      </c>
      <c r="N6" s="39">
        <f t="shared" si="2"/>
        <v>0</v>
      </c>
      <c r="O6" s="8">
        <f t="shared" si="3"/>
        <v>794.21875</v>
      </c>
      <c r="P6" s="15">
        <f t="shared" ref="P6:P15" si="13">P5+O6</f>
        <v>2474.53125</v>
      </c>
      <c r="Q6" s="8">
        <f t="shared" si="4"/>
        <v>874.53125</v>
      </c>
      <c r="R6" s="10">
        <f t="shared" si="9"/>
        <v>17490.625</v>
      </c>
    </row>
    <row r="7" spans="2:18" x14ac:dyDescent="0.35">
      <c r="B7" s="31">
        <v>4</v>
      </c>
      <c r="C7" s="31">
        <v>19</v>
      </c>
      <c r="D7" s="31">
        <f t="shared" si="10"/>
        <v>84</v>
      </c>
      <c r="E7" s="32">
        <v>800</v>
      </c>
      <c r="F7" s="32">
        <f t="shared" si="11"/>
        <v>2100</v>
      </c>
      <c r="G7" s="31">
        <f t="shared" si="5"/>
        <v>400</v>
      </c>
      <c r="H7" s="32">
        <f t="shared" si="6"/>
        <v>2500</v>
      </c>
      <c r="I7" s="33">
        <f t="shared" si="7"/>
        <v>42.10526315789474</v>
      </c>
      <c r="J7" s="5">
        <f t="shared" si="8"/>
        <v>471.10655737704917</v>
      </c>
      <c r="K7" s="18">
        <f t="shared" si="12"/>
        <v>2312.7868852459014</v>
      </c>
      <c r="L7" s="19">
        <f t="shared" si="0"/>
        <v>-187.21311475409857</v>
      </c>
      <c r="M7" s="10">
        <f t="shared" si="1"/>
        <v>18721.311475409857</v>
      </c>
      <c r="N7" s="39">
        <f t="shared" si="2"/>
        <v>2.2287275565964118</v>
      </c>
      <c r="O7" s="8">
        <f t="shared" si="3"/>
        <v>656.09375</v>
      </c>
      <c r="P7" s="15">
        <f t="shared" si="13"/>
        <v>3130.625</v>
      </c>
      <c r="Q7" s="8">
        <f t="shared" si="4"/>
        <v>630.625</v>
      </c>
      <c r="R7" s="10">
        <f t="shared" si="9"/>
        <v>12612.5</v>
      </c>
    </row>
    <row r="8" spans="2:18" x14ac:dyDescent="0.35">
      <c r="B8" s="31">
        <v>5</v>
      </c>
      <c r="C8" s="31">
        <v>22</v>
      </c>
      <c r="D8" s="31">
        <f t="shared" si="10"/>
        <v>106</v>
      </c>
      <c r="E8" s="32">
        <v>900</v>
      </c>
      <c r="F8" s="32">
        <f t="shared" si="11"/>
        <v>3000</v>
      </c>
      <c r="G8" s="31">
        <f t="shared" si="5"/>
        <v>450</v>
      </c>
      <c r="H8" s="32">
        <f t="shared" si="6"/>
        <v>3450</v>
      </c>
      <c r="I8" s="33">
        <f t="shared" si="7"/>
        <v>40.909090909090907</v>
      </c>
      <c r="J8" s="5">
        <f t="shared" si="8"/>
        <v>545.49180327868851</v>
      </c>
      <c r="K8" s="18">
        <f t="shared" si="12"/>
        <v>2858.2786885245901</v>
      </c>
      <c r="L8" s="19">
        <f t="shared" si="0"/>
        <v>-591.72131147540995</v>
      </c>
      <c r="M8" s="10">
        <f t="shared" si="1"/>
        <v>59172.131147540997</v>
      </c>
      <c r="N8" s="39">
        <f t="shared" si="2"/>
        <v>5.5822765233529239</v>
      </c>
      <c r="O8" s="8">
        <f t="shared" si="3"/>
        <v>759.6875</v>
      </c>
      <c r="P8" s="15">
        <f t="shared" si="13"/>
        <v>3890.3125</v>
      </c>
      <c r="Q8" s="8">
        <f t="shared" si="4"/>
        <v>440.3125</v>
      </c>
      <c r="R8" s="10">
        <f t="shared" si="9"/>
        <v>8806.25</v>
      </c>
    </row>
    <row r="9" spans="2:18" x14ac:dyDescent="0.35">
      <c r="B9" s="31">
        <v>6</v>
      </c>
      <c r="C9" s="31">
        <v>22</v>
      </c>
      <c r="D9" s="31">
        <f t="shared" si="10"/>
        <v>128</v>
      </c>
      <c r="E9" s="32">
        <v>1100</v>
      </c>
      <c r="F9" s="32">
        <f t="shared" si="11"/>
        <v>4100</v>
      </c>
      <c r="G9" s="31">
        <f t="shared" si="5"/>
        <v>550</v>
      </c>
      <c r="H9" s="32">
        <f t="shared" si="6"/>
        <v>4650</v>
      </c>
      <c r="I9" s="33">
        <f t="shared" si="7"/>
        <v>50</v>
      </c>
      <c r="J9" s="5">
        <f t="shared" si="8"/>
        <v>545.49180327868851</v>
      </c>
      <c r="K9" s="18">
        <f t="shared" si="12"/>
        <v>3403.7704918032787</v>
      </c>
      <c r="L9" s="19">
        <f t="shared" si="0"/>
        <v>-1246.2295081967213</v>
      </c>
      <c r="M9" s="10">
        <f t="shared" si="1"/>
        <v>124622.95081967213</v>
      </c>
      <c r="N9" s="39">
        <f t="shared" si="2"/>
        <v>9.7361680327868854</v>
      </c>
      <c r="O9" s="8">
        <f t="shared" si="3"/>
        <v>759.6875</v>
      </c>
      <c r="P9" s="15">
        <f t="shared" si="13"/>
        <v>4650</v>
      </c>
      <c r="Q9" s="8">
        <f t="shared" si="4"/>
        <v>0</v>
      </c>
      <c r="R9" s="21">
        <f t="shared" si="9"/>
        <v>0</v>
      </c>
    </row>
    <row r="10" spans="2:18" x14ac:dyDescent="0.35">
      <c r="B10" s="31">
        <v>7</v>
      </c>
      <c r="C10" s="31">
        <v>20</v>
      </c>
      <c r="D10" s="31">
        <f t="shared" si="10"/>
        <v>148</v>
      </c>
      <c r="E10" s="32">
        <v>700</v>
      </c>
      <c r="F10" s="32">
        <f t="shared" si="11"/>
        <v>4800</v>
      </c>
      <c r="G10" s="31">
        <f t="shared" si="5"/>
        <v>350</v>
      </c>
      <c r="H10" s="32">
        <f t="shared" si="6"/>
        <v>5150</v>
      </c>
      <c r="I10" s="33">
        <f t="shared" si="7"/>
        <v>35</v>
      </c>
      <c r="J10" s="5">
        <f t="shared" si="8"/>
        <v>495.90163934426232</v>
      </c>
      <c r="K10" s="18">
        <f t="shared" si="12"/>
        <v>3899.6721311475412</v>
      </c>
      <c r="L10" s="19">
        <f t="shared" si="0"/>
        <v>-1250.3278688524588</v>
      </c>
      <c r="M10" s="10">
        <f t="shared" si="1"/>
        <v>125032.78688524588</v>
      </c>
      <c r="N10" s="39">
        <f t="shared" si="2"/>
        <v>8.4481612760301275</v>
      </c>
      <c r="O10" s="8">
        <f t="shared" si="3"/>
        <v>690.625</v>
      </c>
      <c r="P10" s="15">
        <f t="shared" si="13"/>
        <v>5340.625</v>
      </c>
      <c r="Q10" s="8">
        <f t="shared" si="4"/>
        <v>190.625</v>
      </c>
      <c r="R10" s="10">
        <f t="shared" si="9"/>
        <v>3812.5</v>
      </c>
    </row>
    <row r="11" spans="2:18" x14ac:dyDescent="0.35">
      <c r="B11" s="31">
        <v>8</v>
      </c>
      <c r="C11" s="31">
        <v>23</v>
      </c>
      <c r="D11" s="31">
        <f t="shared" si="10"/>
        <v>171</v>
      </c>
      <c r="E11" s="32">
        <v>400</v>
      </c>
      <c r="F11" s="32">
        <f t="shared" si="11"/>
        <v>5200</v>
      </c>
      <c r="G11" s="31">
        <f t="shared" si="5"/>
        <v>200</v>
      </c>
      <c r="H11" s="32">
        <f t="shared" si="6"/>
        <v>5400</v>
      </c>
      <c r="I11" s="33">
        <f t="shared" si="7"/>
        <v>17.391304347826086</v>
      </c>
      <c r="J11" s="5">
        <f t="shared" si="8"/>
        <v>570.28688524590166</v>
      </c>
      <c r="K11" s="18">
        <f t="shared" si="12"/>
        <v>4469.9590163934427</v>
      </c>
      <c r="L11" s="19">
        <f t="shared" si="0"/>
        <v>-930.04098360655735</v>
      </c>
      <c r="M11" s="10">
        <f t="shared" si="1"/>
        <v>93004.098360655742</v>
      </c>
      <c r="N11" s="39">
        <f t="shared" si="2"/>
        <v>5.4388361614418557</v>
      </c>
      <c r="O11" s="8">
        <f t="shared" si="3"/>
        <v>794.21875</v>
      </c>
      <c r="P11" s="15">
        <f t="shared" si="13"/>
        <v>6134.84375</v>
      </c>
      <c r="Q11" s="8">
        <f t="shared" si="4"/>
        <v>734.84375</v>
      </c>
      <c r="R11" s="10">
        <f t="shared" si="9"/>
        <v>14696.875</v>
      </c>
    </row>
    <row r="12" spans="2:18" x14ac:dyDescent="0.35">
      <c r="B12" s="31">
        <v>9</v>
      </c>
      <c r="C12" s="31">
        <v>11</v>
      </c>
      <c r="D12" s="31">
        <f t="shared" si="10"/>
        <v>182</v>
      </c>
      <c r="E12" s="32">
        <v>300</v>
      </c>
      <c r="F12" s="32">
        <f t="shared" si="11"/>
        <v>5500</v>
      </c>
      <c r="G12" s="31">
        <f t="shared" si="5"/>
        <v>150</v>
      </c>
      <c r="H12" s="32">
        <f t="shared" si="6"/>
        <v>5650</v>
      </c>
      <c r="I12" s="33">
        <f t="shared" si="7"/>
        <v>27.272727272727273</v>
      </c>
      <c r="J12" s="5">
        <f t="shared" si="8"/>
        <v>272.74590163934425</v>
      </c>
      <c r="K12" s="18">
        <f t="shared" si="12"/>
        <v>4742.7049180327867</v>
      </c>
      <c r="L12" s="19">
        <f t="shared" si="0"/>
        <v>-907.29508196721326</v>
      </c>
      <c r="M12" s="10">
        <f t="shared" si="1"/>
        <v>90729.508196721319</v>
      </c>
      <c r="N12" s="39">
        <f t="shared" si="2"/>
        <v>4.9851378130066664</v>
      </c>
      <c r="O12" s="8">
        <f t="shared" si="3"/>
        <v>379.84375</v>
      </c>
      <c r="P12" s="15">
        <f t="shared" si="13"/>
        <v>6514.6875</v>
      </c>
      <c r="Q12" s="8">
        <f t="shared" si="4"/>
        <v>864.6875</v>
      </c>
      <c r="R12" s="10">
        <f t="shared" si="9"/>
        <v>17293.75</v>
      </c>
    </row>
    <row r="13" spans="2:18" x14ac:dyDescent="0.35">
      <c r="B13" s="31">
        <v>10</v>
      </c>
      <c r="C13" s="31">
        <v>22</v>
      </c>
      <c r="D13" s="31">
        <f t="shared" si="10"/>
        <v>204</v>
      </c>
      <c r="E13" s="32">
        <v>200</v>
      </c>
      <c r="F13" s="32">
        <f t="shared" si="11"/>
        <v>5700</v>
      </c>
      <c r="G13" s="31">
        <f t="shared" si="5"/>
        <v>100</v>
      </c>
      <c r="H13" s="32">
        <f t="shared" si="6"/>
        <v>5800</v>
      </c>
      <c r="I13" s="33">
        <f t="shared" si="7"/>
        <v>9.0909090909090917</v>
      </c>
      <c r="J13" s="5">
        <f t="shared" si="8"/>
        <v>545.49180327868851</v>
      </c>
      <c r="K13" s="18">
        <f t="shared" si="12"/>
        <v>5288.1967213114749</v>
      </c>
      <c r="L13" s="19">
        <f t="shared" si="0"/>
        <v>-511.8032786885251</v>
      </c>
      <c r="M13" s="10">
        <f t="shared" si="1"/>
        <v>51180.32786885251</v>
      </c>
      <c r="N13" s="39">
        <f t="shared" si="2"/>
        <v>2.5088396014143388</v>
      </c>
      <c r="O13" s="8">
        <f t="shared" si="3"/>
        <v>759.6875</v>
      </c>
      <c r="P13" s="15">
        <f t="shared" si="13"/>
        <v>7274.375</v>
      </c>
      <c r="Q13" s="8">
        <f t="shared" si="4"/>
        <v>1474.375</v>
      </c>
      <c r="R13" s="10">
        <f t="shared" si="9"/>
        <v>29487.5</v>
      </c>
    </row>
    <row r="14" spans="2:18" x14ac:dyDescent="0.35">
      <c r="B14" s="31">
        <v>11</v>
      </c>
      <c r="C14" s="31">
        <v>22</v>
      </c>
      <c r="D14" s="31">
        <f t="shared" si="10"/>
        <v>226</v>
      </c>
      <c r="E14" s="32">
        <v>200</v>
      </c>
      <c r="F14" s="32">
        <f t="shared" si="11"/>
        <v>5900</v>
      </c>
      <c r="G14" s="31">
        <f t="shared" si="5"/>
        <v>100</v>
      </c>
      <c r="H14" s="32">
        <f t="shared" si="6"/>
        <v>6000</v>
      </c>
      <c r="I14" s="33">
        <f t="shared" si="7"/>
        <v>9.0909090909090917</v>
      </c>
      <c r="J14" s="5">
        <f t="shared" si="8"/>
        <v>545.49180327868851</v>
      </c>
      <c r="K14" s="18">
        <f t="shared" si="12"/>
        <v>5833.6885245901631</v>
      </c>
      <c r="L14" s="19">
        <f t="shared" si="0"/>
        <v>-166.31147540983693</v>
      </c>
      <c r="M14" s="10">
        <f t="shared" si="1"/>
        <v>16631.147540983693</v>
      </c>
      <c r="N14" s="39">
        <f t="shared" si="2"/>
        <v>0.7358914841143227</v>
      </c>
      <c r="O14" s="8">
        <f t="shared" si="3"/>
        <v>759.6875</v>
      </c>
      <c r="P14" s="15">
        <f t="shared" si="13"/>
        <v>8034.0625</v>
      </c>
      <c r="Q14" s="8">
        <f t="shared" si="4"/>
        <v>2034.0625</v>
      </c>
      <c r="R14" s="10">
        <f t="shared" si="9"/>
        <v>40681.25</v>
      </c>
    </row>
    <row r="15" spans="2:18" x14ac:dyDescent="0.35">
      <c r="B15" s="31">
        <v>12</v>
      </c>
      <c r="C15" s="31">
        <v>18</v>
      </c>
      <c r="D15" s="31">
        <f t="shared" si="10"/>
        <v>244</v>
      </c>
      <c r="E15" s="32">
        <v>100</v>
      </c>
      <c r="F15" s="32">
        <f t="shared" si="11"/>
        <v>6000</v>
      </c>
      <c r="G15" s="31">
        <f t="shared" si="5"/>
        <v>50</v>
      </c>
      <c r="H15" s="32">
        <f t="shared" si="6"/>
        <v>6050</v>
      </c>
      <c r="I15" s="33">
        <f t="shared" si="7"/>
        <v>5.5555555555555554</v>
      </c>
      <c r="J15" s="5">
        <f t="shared" si="8"/>
        <v>446.31147540983608</v>
      </c>
      <c r="K15" s="18">
        <f t="shared" si="12"/>
        <v>6279.9999999999991</v>
      </c>
      <c r="L15" s="19">
        <f t="shared" si="0"/>
        <v>229.99999999999909</v>
      </c>
      <c r="M15" s="10">
        <f t="shared" si="1"/>
        <v>4599.9999999999818</v>
      </c>
      <c r="N15" s="39">
        <f t="shared" si="2"/>
        <v>0</v>
      </c>
      <c r="O15" s="8">
        <f t="shared" si="3"/>
        <v>621.5625</v>
      </c>
      <c r="P15" s="15">
        <f t="shared" si="13"/>
        <v>8655.625</v>
      </c>
      <c r="Q15" s="8">
        <f t="shared" si="4"/>
        <v>2605.625</v>
      </c>
      <c r="R15" s="10">
        <f t="shared" si="9"/>
        <v>52112.5</v>
      </c>
    </row>
    <row r="17" spans="2:18" x14ac:dyDescent="0.35">
      <c r="B17" s="4" t="s">
        <v>22</v>
      </c>
      <c r="F17" s="8">
        <f>H15/D15</f>
        <v>24.795081967213115</v>
      </c>
      <c r="G17" s="8">
        <f>(H15-G25)/D15</f>
        <v>23.852459016393443</v>
      </c>
      <c r="H17" s="22">
        <f>F17+N17</f>
        <v>34.53125</v>
      </c>
      <c r="M17" s="11">
        <f>SUM(M4:M16)</f>
        <v>602465.57377049199</v>
      </c>
      <c r="N17" s="20">
        <f>MAX(N4:N15)</f>
        <v>9.7361680327868854</v>
      </c>
      <c r="R17" s="23">
        <f>SUM(R4:R16)</f>
        <v>223393.75</v>
      </c>
    </row>
    <row r="22" spans="2:18" x14ac:dyDescent="0.35">
      <c r="B22" s="4" t="s">
        <v>16</v>
      </c>
      <c r="G22" s="36">
        <v>35</v>
      </c>
    </row>
    <row r="23" spans="2:18" x14ac:dyDescent="0.35">
      <c r="B23" s="4" t="s">
        <v>17</v>
      </c>
      <c r="G23" s="4">
        <v>250</v>
      </c>
    </row>
    <row r="24" spans="2:18" x14ac:dyDescent="0.35">
      <c r="B24" s="4" t="s">
        <v>21</v>
      </c>
      <c r="G24" s="7">
        <v>0.2</v>
      </c>
    </row>
    <row r="25" spans="2:18" x14ac:dyDescent="0.35">
      <c r="B25" s="4" t="s">
        <v>15</v>
      </c>
      <c r="G25" s="4">
        <v>230</v>
      </c>
    </row>
    <row r="26" spans="2:18" x14ac:dyDescent="0.35">
      <c r="B26" s="4" t="s">
        <v>18</v>
      </c>
      <c r="G26" s="4">
        <v>20</v>
      </c>
    </row>
    <row r="27" spans="2:18" x14ac:dyDescent="0.35">
      <c r="B27" s="4" t="s">
        <v>19</v>
      </c>
      <c r="G27" s="4">
        <v>100</v>
      </c>
    </row>
    <row r="28" spans="2:18" x14ac:dyDescent="0.35">
      <c r="B28" s="4" t="s">
        <v>20</v>
      </c>
      <c r="G28" s="4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V28"/>
  <sheetViews>
    <sheetView topLeftCell="F1" zoomScaleNormal="100" workbookViewId="0">
      <selection activeCell="N4" sqref="N4"/>
    </sheetView>
  </sheetViews>
  <sheetFormatPr defaultColWidth="13.26953125" defaultRowHeight="14" x14ac:dyDescent="0.35"/>
  <cols>
    <col min="1" max="1" width="3.26953125" style="4" customWidth="1"/>
    <col min="2" max="2" width="8.453125" style="4" customWidth="1"/>
    <col min="3" max="4" width="13.26953125" style="4"/>
    <col min="5" max="5" width="7.81640625" style="4" bestFit="1" customWidth="1"/>
    <col min="6" max="6" width="10.81640625" style="4" bestFit="1" customWidth="1"/>
    <col min="7" max="7" width="11.1796875" style="4" bestFit="1" customWidth="1"/>
    <col min="8" max="9" width="11.81640625" style="16" bestFit="1" customWidth="1"/>
    <col min="10" max="10" width="11" style="16" bestFit="1" customWidth="1"/>
    <col min="11" max="11" width="11.26953125" style="16" bestFit="1" customWidth="1"/>
    <col min="12" max="12" width="11" style="16" bestFit="1" customWidth="1"/>
    <col min="13" max="13" width="12.81640625" style="16" customWidth="1"/>
    <col min="14" max="14" width="12.54296875" style="16" bestFit="1" customWidth="1"/>
    <col min="15" max="15" width="11.1796875" style="16" bestFit="1" customWidth="1"/>
    <col min="16" max="16" width="11" style="16" bestFit="1" customWidth="1"/>
    <col min="17" max="17" width="10.1796875" style="16" bestFit="1" customWidth="1"/>
    <col min="18" max="18" width="11.1796875" style="4" bestFit="1" customWidth="1"/>
    <col min="19" max="19" width="10.453125" style="4" bestFit="1" customWidth="1"/>
    <col min="20" max="20" width="16" style="4" bestFit="1" customWidth="1"/>
    <col min="21" max="21" width="13.26953125" style="4"/>
    <col min="22" max="22" width="14.453125" style="4" bestFit="1" customWidth="1"/>
    <col min="23" max="16384" width="13.26953125" style="4"/>
  </cols>
  <sheetData>
    <row r="2" spans="2:22" ht="56" x14ac:dyDescent="0.35">
      <c r="B2" s="1" t="s">
        <v>0</v>
      </c>
      <c r="C2" s="1" t="s">
        <v>6</v>
      </c>
      <c r="D2" s="1" t="s">
        <v>7</v>
      </c>
      <c r="E2" s="1" t="s">
        <v>1</v>
      </c>
      <c r="F2" s="1" t="s">
        <v>2</v>
      </c>
      <c r="G2" s="1" t="s">
        <v>3</v>
      </c>
      <c r="H2" s="12" t="s">
        <v>4</v>
      </c>
      <c r="I2" s="12" t="s">
        <v>32</v>
      </c>
      <c r="J2" s="12" t="s">
        <v>33</v>
      </c>
      <c r="K2" s="12" t="s">
        <v>34</v>
      </c>
      <c r="L2" s="12" t="s">
        <v>35</v>
      </c>
      <c r="M2" s="12" t="s">
        <v>36</v>
      </c>
      <c r="N2" s="12" t="s">
        <v>37</v>
      </c>
      <c r="O2" s="12" t="s">
        <v>40</v>
      </c>
      <c r="P2" s="12" t="s">
        <v>38</v>
      </c>
      <c r="Q2" s="12" t="s">
        <v>39</v>
      </c>
      <c r="R2" s="1" t="s">
        <v>41</v>
      </c>
      <c r="S2" s="1" t="s">
        <v>42</v>
      </c>
      <c r="T2" s="1" t="s">
        <v>29</v>
      </c>
      <c r="U2" s="1" t="s">
        <v>43</v>
      </c>
      <c r="V2" s="1" t="s">
        <v>44</v>
      </c>
    </row>
    <row r="3" spans="2:22" x14ac:dyDescent="0.35">
      <c r="B3" s="2" t="s">
        <v>8</v>
      </c>
      <c r="C3" s="2" t="s">
        <v>9</v>
      </c>
      <c r="D3" s="2" t="s">
        <v>13</v>
      </c>
      <c r="E3" s="2" t="s">
        <v>10</v>
      </c>
      <c r="F3" s="2" t="s">
        <v>12</v>
      </c>
      <c r="G3" s="2" t="s">
        <v>14</v>
      </c>
      <c r="H3" s="13" t="s">
        <v>11</v>
      </c>
      <c r="I3" s="17"/>
      <c r="J3" s="17"/>
      <c r="K3" s="17"/>
      <c r="L3" s="17"/>
      <c r="M3" s="17"/>
      <c r="N3" s="17"/>
      <c r="O3" s="17"/>
      <c r="P3" s="17"/>
      <c r="Q3" s="17"/>
    </row>
    <row r="4" spans="2:22" x14ac:dyDescent="0.35">
      <c r="B4" s="3">
        <v>1</v>
      </c>
      <c r="C4" s="3">
        <v>22</v>
      </c>
      <c r="D4" s="3">
        <f>C4</f>
        <v>22</v>
      </c>
      <c r="E4" s="6">
        <v>300</v>
      </c>
      <c r="F4" s="6">
        <f>E4</f>
        <v>300</v>
      </c>
      <c r="G4" s="3">
        <f>E4/2</f>
        <v>150</v>
      </c>
      <c r="H4" s="14">
        <f>F4+G4</f>
        <v>450</v>
      </c>
      <c r="I4" s="30">
        <f>H4-G25</f>
        <v>220</v>
      </c>
      <c r="J4" s="29">
        <f>C4*$G$22</f>
        <v>770</v>
      </c>
      <c r="K4" s="14">
        <f>J4-I4</f>
        <v>550</v>
      </c>
      <c r="L4" s="14">
        <f>IF(K4&gt;0,,ABS(K4))</f>
        <v>0</v>
      </c>
      <c r="M4" s="14">
        <f t="shared" ref="M4:M15" si="0">IF(K4&gt;0,,C4*$G$22*$G$24)</f>
        <v>0</v>
      </c>
      <c r="N4" s="14">
        <f>IF(($M$19-SUM(N5:$N$15))&gt;K4,K4,$M$19-SUM(N5:$N$15))</f>
        <v>49</v>
      </c>
      <c r="O4" s="14">
        <f>I4+N4-L4</f>
        <v>269</v>
      </c>
      <c r="P4" s="14">
        <f>O4+M4+G25</f>
        <v>499</v>
      </c>
      <c r="Q4" s="14">
        <f>P4-H4</f>
        <v>49</v>
      </c>
      <c r="R4" s="5">
        <f>(O4)/C4</f>
        <v>12.227272727272727</v>
      </c>
      <c r="S4" s="8">
        <v>0</v>
      </c>
      <c r="T4" s="10">
        <f t="shared" ref="T4:T15" si="1">Q4*$G$26</f>
        <v>980</v>
      </c>
      <c r="U4" s="8">
        <f>ABS(S4)*$G$28</f>
        <v>0</v>
      </c>
      <c r="V4" s="10">
        <f>M4*$G$23</f>
        <v>0</v>
      </c>
    </row>
    <row r="5" spans="2:22" x14ac:dyDescent="0.35">
      <c r="B5" s="3">
        <v>2</v>
      </c>
      <c r="C5" s="3">
        <v>20</v>
      </c>
      <c r="D5" s="3">
        <f>D4+C5</f>
        <v>42</v>
      </c>
      <c r="E5" s="6">
        <v>400</v>
      </c>
      <c r="F5" s="6">
        <f>F4+E5</f>
        <v>700</v>
      </c>
      <c r="G5" s="3">
        <f t="shared" ref="G5:G15" si="2">E5/2</f>
        <v>200</v>
      </c>
      <c r="H5" s="14">
        <f t="shared" ref="H5:H15" si="3">F5+G5</f>
        <v>900</v>
      </c>
      <c r="I5" s="30">
        <f t="shared" ref="I5:I15" si="4">H5-H4</f>
        <v>450</v>
      </c>
      <c r="J5" s="29">
        <f t="shared" ref="J5:J15" si="5">C5*$G$22</f>
        <v>700</v>
      </c>
      <c r="K5" s="14">
        <f t="shared" ref="K5:K15" si="6">J5-I5</f>
        <v>250</v>
      </c>
      <c r="L5" s="14">
        <f t="shared" ref="L5:L15" si="7">IF(K5&gt;0,,ABS(K5))</f>
        <v>0</v>
      </c>
      <c r="M5" s="14">
        <f t="shared" si="0"/>
        <v>0</v>
      </c>
      <c r="N5" s="14">
        <f>IF(($M$19-SUM(N6:$N$15))&gt;K5,K5,$M$19-SUM(N6:$N$15))</f>
        <v>250</v>
      </c>
      <c r="O5" s="14">
        <f>I5+N5-L5</f>
        <v>700</v>
      </c>
      <c r="P5" s="14">
        <f>P4+O5+M5</f>
        <v>1199</v>
      </c>
      <c r="Q5" s="14">
        <f t="shared" ref="Q5:Q15" si="8">P5-H5</f>
        <v>299</v>
      </c>
      <c r="R5" s="5">
        <f t="shared" ref="R5:R14" si="9">O5/C5</f>
        <v>35</v>
      </c>
      <c r="S5" s="8">
        <f>R5-R4</f>
        <v>22.772727272727273</v>
      </c>
      <c r="T5" s="10">
        <f t="shared" si="1"/>
        <v>5980</v>
      </c>
      <c r="U5" s="8">
        <f t="shared" ref="U5:U15" si="10">ABS(S5)*$G$28</f>
        <v>13663.636363636364</v>
      </c>
      <c r="V5" s="10">
        <f t="shared" ref="V5:V15" si="11">M5*$G$23</f>
        <v>0</v>
      </c>
    </row>
    <row r="6" spans="2:22" x14ac:dyDescent="0.35">
      <c r="B6" s="3">
        <v>3</v>
      </c>
      <c r="C6" s="3">
        <v>23</v>
      </c>
      <c r="D6" s="3">
        <f t="shared" ref="D6:D15" si="12">D5+C6</f>
        <v>65</v>
      </c>
      <c r="E6" s="6">
        <v>600</v>
      </c>
      <c r="F6" s="6">
        <f t="shared" ref="F6:F15" si="13">F5+E6</f>
        <v>1300</v>
      </c>
      <c r="G6" s="3">
        <f t="shared" si="2"/>
        <v>300</v>
      </c>
      <c r="H6" s="14">
        <f t="shared" si="3"/>
        <v>1600</v>
      </c>
      <c r="I6" s="30">
        <f t="shared" si="4"/>
        <v>700</v>
      </c>
      <c r="J6" s="29">
        <f t="shared" si="5"/>
        <v>805</v>
      </c>
      <c r="K6" s="14">
        <f t="shared" si="6"/>
        <v>105</v>
      </c>
      <c r="L6" s="14">
        <f t="shared" si="7"/>
        <v>0</v>
      </c>
      <c r="M6" s="14">
        <f t="shared" si="0"/>
        <v>0</v>
      </c>
      <c r="N6" s="14">
        <f>IF(($M$19-SUM(N7:$N$15))&gt;K6,K6,$M$19-SUM(N7:$N$15))</f>
        <v>105</v>
      </c>
      <c r="O6" s="14">
        <f t="shared" ref="O6:O15" si="14">I6+N6-L6</f>
        <v>805</v>
      </c>
      <c r="P6" s="14">
        <f t="shared" ref="P6:P14" si="15">P5+O6+M6</f>
        <v>2004</v>
      </c>
      <c r="Q6" s="14">
        <f t="shared" si="8"/>
        <v>404</v>
      </c>
      <c r="R6" s="5">
        <f t="shared" si="9"/>
        <v>35</v>
      </c>
      <c r="S6" s="8">
        <f t="shared" ref="S6:S15" si="16">R6-R5</f>
        <v>0</v>
      </c>
      <c r="T6" s="10">
        <f t="shared" si="1"/>
        <v>8080</v>
      </c>
      <c r="U6" s="8">
        <f t="shared" si="10"/>
        <v>0</v>
      </c>
      <c r="V6" s="10">
        <f t="shared" si="11"/>
        <v>0</v>
      </c>
    </row>
    <row r="7" spans="2:22" x14ac:dyDescent="0.35">
      <c r="B7" s="3">
        <v>4</v>
      </c>
      <c r="C7" s="3">
        <v>19</v>
      </c>
      <c r="D7" s="3">
        <f t="shared" si="12"/>
        <v>84</v>
      </c>
      <c r="E7" s="6">
        <v>800</v>
      </c>
      <c r="F7" s="6">
        <f t="shared" si="13"/>
        <v>2100</v>
      </c>
      <c r="G7" s="3">
        <f t="shared" si="2"/>
        <v>400</v>
      </c>
      <c r="H7" s="14">
        <f t="shared" si="3"/>
        <v>2500</v>
      </c>
      <c r="I7" s="30">
        <f t="shared" si="4"/>
        <v>900</v>
      </c>
      <c r="J7" s="29">
        <f t="shared" si="5"/>
        <v>665</v>
      </c>
      <c r="K7" s="14">
        <f t="shared" si="6"/>
        <v>-235</v>
      </c>
      <c r="L7" s="14">
        <f t="shared" si="7"/>
        <v>235</v>
      </c>
      <c r="M7" s="14">
        <f>IF(K7&gt;0,,C7*$G$22*$G$24)</f>
        <v>133</v>
      </c>
      <c r="N7" s="14">
        <v>0</v>
      </c>
      <c r="O7" s="14">
        <f t="shared" si="14"/>
        <v>665</v>
      </c>
      <c r="P7" s="14">
        <f t="shared" si="15"/>
        <v>2802</v>
      </c>
      <c r="Q7" s="14">
        <f t="shared" si="8"/>
        <v>302</v>
      </c>
      <c r="R7" s="5">
        <f t="shared" si="9"/>
        <v>35</v>
      </c>
      <c r="S7" s="8">
        <f t="shared" si="16"/>
        <v>0</v>
      </c>
      <c r="T7" s="10">
        <f t="shared" si="1"/>
        <v>6040</v>
      </c>
      <c r="U7" s="8">
        <f t="shared" si="10"/>
        <v>0</v>
      </c>
      <c r="V7" s="10">
        <f>M7*$G$23</f>
        <v>33250</v>
      </c>
    </row>
    <row r="8" spans="2:22" x14ac:dyDescent="0.35">
      <c r="B8" s="3">
        <v>5</v>
      </c>
      <c r="C8" s="3">
        <v>22</v>
      </c>
      <c r="D8" s="3">
        <f t="shared" si="12"/>
        <v>106</v>
      </c>
      <c r="E8" s="6">
        <v>900</v>
      </c>
      <c r="F8" s="6">
        <f t="shared" si="13"/>
        <v>3000</v>
      </c>
      <c r="G8" s="3">
        <f t="shared" si="2"/>
        <v>450</v>
      </c>
      <c r="H8" s="14">
        <f t="shared" si="3"/>
        <v>3450</v>
      </c>
      <c r="I8" s="30">
        <f t="shared" si="4"/>
        <v>950</v>
      </c>
      <c r="J8" s="29">
        <f t="shared" si="5"/>
        <v>770</v>
      </c>
      <c r="K8" s="14">
        <f t="shared" si="6"/>
        <v>-180</v>
      </c>
      <c r="L8" s="14">
        <f t="shared" si="7"/>
        <v>180</v>
      </c>
      <c r="M8" s="14">
        <f t="shared" si="0"/>
        <v>154</v>
      </c>
      <c r="N8" s="14">
        <v>0</v>
      </c>
      <c r="O8" s="14">
        <f t="shared" si="14"/>
        <v>770</v>
      </c>
      <c r="P8" s="14">
        <f t="shared" si="15"/>
        <v>3726</v>
      </c>
      <c r="Q8" s="14">
        <f t="shared" si="8"/>
        <v>276</v>
      </c>
      <c r="R8" s="5">
        <f t="shared" si="9"/>
        <v>35</v>
      </c>
      <c r="S8" s="8">
        <f t="shared" si="16"/>
        <v>0</v>
      </c>
      <c r="T8" s="10">
        <f t="shared" si="1"/>
        <v>5520</v>
      </c>
      <c r="U8" s="8">
        <f t="shared" si="10"/>
        <v>0</v>
      </c>
      <c r="V8" s="10">
        <f t="shared" si="11"/>
        <v>38500</v>
      </c>
    </row>
    <row r="9" spans="2:22" x14ac:dyDescent="0.35">
      <c r="B9" s="3">
        <v>6</v>
      </c>
      <c r="C9" s="3">
        <v>22</v>
      </c>
      <c r="D9" s="3">
        <f t="shared" si="12"/>
        <v>128</v>
      </c>
      <c r="E9" s="6">
        <v>1100</v>
      </c>
      <c r="F9" s="6">
        <f t="shared" si="13"/>
        <v>4100</v>
      </c>
      <c r="G9" s="3">
        <f t="shared" si="2"/>
        <v>550</v>
      </c>
      <c r="H9" s="14">
        <f t="shared" si="3"/>
        <v>4650</v>
      </c>
      <c r="I9" s="30">
        <f t="shared" si="4"/>
        <v>1200</v>
      </c>
      <c r="J9" s="29">
        <f t="shared" si="5"/>
        <v>770</v>
      </c>
      <c r="K9" s="14">
        <f t="shared" si="6"/>
        <v>-430</v>
      </c>
      <c r="L9" s="14">
        <f t="shared" si="7"/>
        <v>430</v>
      </c>
      <c r="M9" s="14">
        <f t="shared" si="0"/>
        <v>154</v>
      </c>
      <c r="N9" s="14">
        <v>0</v>
      </c>
      <c r="O9" s="14">
        <f t="shared" si="14"/>
        <v>770</v>
      </c>
      <c r="P9" s="14">
        <f t="shared" si="15"/>
        <v>4650</v>
      </c>
      <c r="Q9" s="14">
        <f t="shared" si="8"/>
        <v>0</v>
      </c>
      <c r="R9" s="5">
        <f t="shared" si="9"/>
        <v>35</v>
      </c>
      <c r="S9" s="8">
        <f t="shared" si="16"/>
        <v>0</v>
      </c>
      <c r="T9" s="10">
        <f t="shared" si="1"/>
        <v>0</v>
      </c>
      <c r="U9" s="8">
        <f t="shared" si="10"/>
        <v>0</v>
      </c>
      <c r="V9" s="10">
        <f t="shared" si="11"/>
        <v>38500</v>
      </c>
    </row>
    <row r="10" spans="2:22" x14ac:dyDescent="0.35">
      <c r="B10" s="3">
        <v>7</v>
      </c>
      <c r="C10" s="3">
        <v>20</v>
      </c>
      <c r="D10" s="3">
        <f t="shared" si="12"/>
        <v>148</v>
      </c>
      <c r="E10" s="6">
        <v>700</v>
      </c>
      <c r="F10" s="6">
        <f t="shared" si="13"/>
        <v>4800</v>
      </c>
      <c r="G10" s="3">
        <f t="shared" si="2"/>
        <v>350</v>
      </c>
      <c r="H10" s="14">
        <f t="shared" si="3"/>
        <v>5150</v>
      </c>
      <c r="I10" s="30">
        <f t="shared" si="4"/>
        <v>500</v>
      </c>
      <c r="J10" s="29">
        <f t="shared" si="5"/>
        <v>700</v>
      </c>
      <c r="K10" s="14">
        <f t="shared" si="6"/>
        <v>200</v>
      </c>
      <c r="L10" s="14">
        <f t="shared" si="7"/>
        <v>0</v>
      </c>
      <c r="M10" s="14">
        <f t="shared" si="0"/>
        <v>0</v>
      </c>
      <c r="N10" s="14">
        <v>0</v>
      </c>
      <c r="O10" s="14">
        <f t="shared" si="14"/>
        <v>500</v>
      </c>
      <c r="P10" s="14">
        <f t="shared" si="15"/>
        <v>5150</v>
      </c>
      <c r="Q10" s="14">
        <f t="shared" si="8"/>
        <v>0</v>
      </c>
      <c r="R10" s="5">
        <f t="shared" si="9"/>
        <v>25</v>
      </c>
      <c r="S10" s="8">
        <f t="shared" si="16"/>
        <v>-10</v>
      </c>
      <c r="T10" s="10">
        <f t="shared" si="1"/>
        <v>0</v>
      </c>
      <c r="U10" s="8">
        <f t="shared" si="10"/>
        <v>6000</v>
      </c>
      <c r="V10" s="10">
        <f t="shared" si="11"/>
        <v>0</v>
      </c>
    </row>
    <row r="11" spans="2:22" x14ac:dyDescent="0.35">
      <c r="B11" s="3">
        <v>8</v>
      </c>
      <c r="C11" s="3">
        <v>23</v>
      </c>
      <c r="D11" s="3">
        <f t="shared" si="12"/>
        <v>171</v>
      </c>
      <c r="E11" s="6">
        <v>400</v>
      </c>
      <c r="F11" s="6">
        <f t="shared" si="13"/>
        <v>5200</v>
      </c>
      <c r="G11" s="3">
        <f t="shared" si="2"/>
        <v>200</v>
      </c>
      <c r="H11" s="14">
        <f t="shared" si="3"/>
        <v>5400</v>
      </c>
      <c r="I11" s="30">
        <f t="shared" si="4"/>
        <v>250</v>
      </c>
      <c r="J11" s="29">
        <f t="shared" si="5"/>
        <v>805</v>
      </c>
      <c r="K11" s="14">
        <f t="shared" si="6"/>
        <v>555</v>
      </c>
      <c r="L11" s="14">
        <f t="shared" si="7"/>
        <v>0</v>
      </c>
      <c r="M11" s="14">
        <f t="shared" si="0"/>
        <v>0</v>
      </c>
      <c r="N11" s="14">
        <v>0</v>
      </c>
      <c r="O11" s="14">
        <f t="shared" si="14"/>
        <v>250</v>
      </c>
      <c r="P11" s="14">
        <f t="shared" si="15"/>
        <v>5400</v>
      </c>
      <c r="Q11" s="14">
        <f t="shared" si="8"/>
        <v>0</v>
      </c>
      <c r="R11" s="5">
        <f t="shared" si="9"/>
        <v>10.869565217391305</v>
      </c>
      <c r="S11" s="8">
        <f t="shared" si="16"/>
        <v>-14.130434782608695</v>
      </c>
      <c r="T11" s="10">
        <f t="shared" si="1"/>
        <v>0</v>
      </c>
      <c r="U11" s="8">
        <f t="shared" si="10"/>
        <v>8478.2608695652179</v>
      </c>
      <c r="V11" s="10">
        <f t="shared" si="11"/>
        <v>0</v>
      </c>
    </row>
    <row r="12" spans="2:22" x14ac:dyDescent="0.35">
      <c r="B12" s="3">
        <v>9</v>
      </c>
      <c r="C12" s="3">
        <v>11</v>
      </c>
      <c r="D12" s="3">
        <f t="shared" si="12"/>
        <v>182</v>
      </c>
      <c r="E12" s="6">
        <v>300</v>
      </c>
      <c r="F12" s="6">
        <f t="shared" si="13"/>
        <v>5500</v>
      </c>
      <c r="G12" s="3">
        <f t="shared" si="2"/>
        <v>150</v>
      </c>
      <c r="H12" s="14">
        <f t="shared" si="3"/>
        <v>5650</v>
      </c>
      <c r="I12" s="30">
        <f t="shared" si="4"/>
        <v>250</v>
      </c>
      <c r="J12" s="29">
        <f t="shared" si="5"/>
        <v>385</v>
      </c>
      <c r="K12" s="14">
        <f t="shared" si="6"/>
        <v>135</v>
      </c>
      <c r="L12" s="14">
        <f t="shared" si="7"/>
        <v>0</v>
      </c>
      <c r="M12" s="14">
        <f t="shared" si="0"/>
        <v>0</v>
      </c>
      <c r="N12" s="14">
        <v>0</v>
      </c>
      <c r="O12" s="14">
        <f t="shared" si="14"/>
        <v>250</v>
      </c>
      <c r="P12" s="14">
        <f t="shared" si="15"/>
        <v>5650</v>
      </c>
      <c r="Q12" s="14">
        <f t="shared" si="8"/>
        <v>0</v>
      </c>
      <c r="R12" s="5">
        <f t="shared" si="9"/>
        <v>22.727272727272727</v>
      </c>
      <c r="S12" s="8">
        <f t="shared" si="16"/>
        <v>11.857707509881422</v>
      </c>
      <c r="T12" s="10">
        <f t="shared" si="1"/>
        <v>0</v>
      </c>
      <c r="U12" s="8">
        <f t="shared" si="10"/>
        <v>7114.6245059288531</v>
      </c>
      <c r="V12" s="10">
        <f t="shared" si="11"/>
        <v>0</v>
      </c>
    </row>
    <row r="13" spans="2:22" x14ac:dyDescent="0.35">
      <c r="B13" s="3">
        <v>10</v>
      </c>
      <c r="C13" s="3">
        <v>22</v>
      </c>
      <c r="D13" s="3">
        <f t="shared" si="12"/>
        <v>204</v>
      </c>
      <c r="E13" s="6">
        <v>200</v>
      </c>
      <c r="F13" s="6">
        <f t="shared" si="13"/>
        <v>5700</v>
      </c>
      <c r="G13" s="3">
        <f t="shared" si="2"/>
        <v>100</v>
      </c>
      <c r="H13" s="14">
        <f t="shared" si="3"/>
        <v>5800</v>
      </c>
      <c r="I13" s="30">
        <f t="shared" si="4"/>
        <v>150</v>
      </c>
      <c r="J13" s="29">
        <f t="shared" si="5"/>
        <v>770</v>
      </c>
      <c r="K13" s="14">
        <f t="shared" si="6"/>
        <v>620</v>
      </c>
      <c r="L13" s="14">
        <f t="shared" si="7"/>
        <v>0</v>
      </c>
      <c r="M13" s="14">
        <f t="shared" si="0"/>
        <v>0</v>
      </c>
      <c r="N13" s="14">
        <v>0</v>
      </c>
      <c r="O13" s="14">
        <f t="shared" si="14"/>
        <v>150</v>
      </c>
      <c r="P13" s="14">
        <f t="shared" si="15"/>
        <v>5800</v>
      </c>
      <c r="Q13" s="14">
        <f t="shared" si="8"/>
        <v>0</v>
      </c>
      <c r="R13" s="5">
        <f t="shared" si="9"/>
        <v>6.8181818181818183</v>
      </c>
      <c r="S13" s="8">
        <f t="shared" si="16"/>
        <v>-15.909090909090908</v>
      </c>
      <c r="T13" s="10">
        <f t="shared" si="1"/>
        <v>0</v>
      </c>
      <c r="U13" s="8">
        <f t="shared" si="10"/>
        <v>9545.4545454545441</v>
      </c>
      <c r="V13" s="10">
        <f t="shared" si="11"/>
        <v>0</v>
      </c>
    </row>
    <row r="14" spans="2:22" x14ac:dyDescent="0.35">
      <c r="B14" s="3">
        <v>11</v>
      </c>
      <c r="C14" s="3">
        <v>22</v>
      </c>
      <c r="D14" s="3">
        <f t="shared" si="12"/>
        <v>226</v>
      </c>
      <c r="E14" s="6">
        <v>200</v>
      </c>
      <c r="F14" s="6">
        <f t="shared" si="13"/>
        <v>5900</v>
      </c>
      <c r="G14" s="3">
        <f t="shared" si="2"/>
        <v>100</v>
      </c>
      <c r="H14" s="14">
        <f t="shared" si="3"/>
        <v>6000</v>
      </c>
      <c r="I14" s="30">
        <f t="shared" si="4"/>
        <v>200</v>
      </c>
      <c r="J14" s="29">
        <f t="shared" si="5"/>
        <v>770</v>
      </c>
      <c r="K14" s="14">
        <f t="shared" si="6"/>
        <v>570</v>
      </c>
      <c r="L14" s="14">
        <f t="shared" si="7"/>
        <v>0</v>
      </c>
      <c r="M14" s="14">
        <f t="shared" si="0"/>
        <v>0</v>
      </c>
      <c r="N14" s="14">
        <v>0</v>
      </c>
      <c r="O14" s="14">
        <f t="shared" si="14"/>
        <v>200</v>
      </c>
      <c r="P14" s="14">
        <f t="shared" si="15"/>
        <v>6000</v>
      </c>
      <c r="Q14" s="14">
        <f t="shared" si="8"/>
        <v>0</v>
      </c>
      <c r="R14" s="5">
        <f t="shared" si="9"/>
        <v>9.0909090909090917</v>
      </c>
      <c r="S14" s="8">
        <f t="shared" si="16"/>
        <v>2.2727272727272734</v>
      </c>
      <c r="T14" s="10">
        <f t="shared" si="1"/>
        <v>0</v>
      </c>
      <c r="U14" s="8">
        <f t="shared" si="10"/>
        <v>1363.636363636364</v>
      </c>
      <c r="V14" s="10">
        <f t="shared" si="11"/>
        <v>0</v>
      </c>
    </row>
    <row r="15" spans="2:22" x14ac:dyDescent="0.35">
      <c r="B15" s="3">
        <v>12</v>
      </c>
      <c r="C15" s="3">
        <v>18</v>
      </c>
      <c r="D15" s="3">
        <f t="shared" si="12"/>
        <v>244</v>
      </c>
      <c r="E15" s="6">
        <v>100</v>
      </c>
      <c r="F15" s="6">
        <f t="shared" si="13"/>
        <v>6000</v>
      </c>
      <c r="G15" s="3">
        <f t="shared" si="2"/>
        <v>50</v>
      </c>
      <c r="H15" s="14">
        <f t="shared" si="3"/>
        <v>6050</v>
      </c>
      <c r="I15" s="30">
        <f t="shared" si="4"/>
        <v>50</v>
      </c>
      <c r="J15" s="29">
        <f t="shared" si="5"/>
        <v>630</v>
      </c>
      <c r="K15" s="14">
        <f t="shared" si="6"/>
        <v>580</v>
      </c>
      <c r="L15" s="14">
        <f t="shared" si="7"/>
        <v>0</v>
      </c>
      <c r="M15" s="14">
        <f t="shared" si="0"/>
        <v>0</v>
      </c>
      <c r="N15" s="14">
        <v>0</v>
      </c>
      <c r="O15" s="14">
        <f t="shared" si="14"/>
        <v>50</v>
      </c>
      <c r="P15" s="14">
        <f>P14+O15+M15+$G$25</f>
        <v>6280</v>
      </c>
      <c r="Q15" s="14">
        <f t="shared" si="8"/>
        <v>230</v>
      </c>
      <c r="R15" s="26">
        <f>$G$25/C15</f>
        <v>12.777777777777779</v>
      </c>
      <c r="S15" s="8">
        <f t="shared" si="16"/>
        <v>3.6868686868686869</v>
      </c>
      <c r="T15" s="10">
        <f t="shared" si="1"/>
        <v>4600</v>
      </c>
      <c r="U15" s="8">
        <f t="shared" si="10"/>
        <v>2212.121212121212</v>
      </c>
      <c r="V15" s="10">
        <f t="shared" si="11"/>
        <v>0</v>
      </c>
    </row>
    <row r="17" spans="2:22" x14ac:dyDescent="0.35">
      <c r="B17" s="4" t="s">
        <v>22</v>
      </c>
      <c r="F17" s="8">
        <f>H15/D15</f>
        <v>24.795081967213115</v>
      </c>
      <c r="G17" s="8">
        <f>(H15-G25)/D15</f>
        <v>23.852459016393443</v>
      </c>
      <c r="H17" s="15"/>
      <c r="L17" s="24">
        <f>SUM(L4:L16)</f>
        <v>845</v>
      </c>
      <c r="M17" s="24">
        <f>SUM(M4:M16)</f>
        <v>441</v>
      </c>
      <c r="N17" s="14"/>
      <c r="O17" s="14"/>
      <c r="P17" s="14"/>
      <c r="Q17" s="14"/>
      <c r="T17" s="11">
        <f>SUM(T4:T16)</f>
        <v>31200</v>
      </c>
      <c r="U17" s="11">
        <f>SUM(U4:U16)</f>
        <v>48377.73386034256</v>
      </c>
      <c r="V17" s="11">
        <f>SUM(V4:V16)</f>
        <v>110250</v>
      </c>
    </row>
    <row r="19" spans="2:22" x14ac:dyDescent="0.35">
      <c r="M19" s="27">
        <f>L17-M17</f>
        <v>404</v>
      </c>
      <c r="T19" s="25" t="s">
        <v>45</v>
      </c>
      <c r="V19" s="23">
        <f>T17+U17+V17</f>
        <v>189827.73386034256</v>
      </c>
    </row>
    <row r="22" spans="2:22" x14ac:dyDescent="0.35">
      <c r="B22" s="4" t="s">
        <v>16</v>
      </c>
      <c r="G22" s="4">
        <v>35</v>
      </c>
    </row>
    <row r="23" spans="2:22" x14ac:dyDescent="0.35">
      <c r="B23" s="4" t="s">
        <v>17</v>
      </c>
      <c r="G23" s="4">
        <v>250</v>
      </c>
    </row>
    <row r="24" spans="2:22" x14ac:dyDescent="0.35">
      <c r="B24" s="4" t="s">
        <v>21</v>
      </c>
      <c r="G24" s="7">
        <v>0.2</v>
      </c>
    </row>
    <row r="25" spans="2:22" x14ac:dyDescent="0.35">
      <c r="B25" s="4" t="s">
        <v>15</v>
      </c>
      <c r="G25" s="4">
        <v>230</v>
      </c>
    </row>
    <row r="26" spans="2:22" x14ac:dyDescent="0.35">
      <c r="B26" s="4" t="s">
        <v>18</v>
      </c>
      <c r="G26" s="4">
        <v>20</v>
      </c>
    </row>
    <row r="27" spans="2:22" x14ac:dyDescent="0.35">
      <c r="B27" s="4" t="s">
        <v>19</v>
      </c>
      <c r="G27" s="4">
        <v>100</v>
      </c>
    </row>
    <row r="28" spans="2:22" x14ac:dyDescent="0.35">
      <c r="B28" s="4" t="s">
        <v>20</v>
      </c>
      <c r="G28" s="4">
        <v>600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Σταθερή παραγωγή στο ΜΟ</vt:lpstr>
      <vt:lpstr>Σταθερή Παραγωγή στο Μέγιστο</vt:lpstr>
      <vt:lpstr>Παραγωγή με Υπερωρίες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Emiris</dc:creator>
  <cp:lastModifiedBy>Dimitrios Emiris</cp:lastModifiedBy>
  <dcterms:created xsi:type="dcterms:W3CDTF">2015-12-04T07:30:53Z</dcterms:created>
  <dcterms:modified xsi:type="dcterms:W3CDTF">2022-11-30T12:40:19Z</dcterms:modified>
</cp:coreProperties>
</file>