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ago\Dropbox\UNIPI\Courses\UNIPI\Courses\UnderGraduate\FinancingCourse\Material\Presentations\"/>
    </mc:Choice>
  </mc:AlternateContent>
  <xr:revisionPtr revIDLastSave="0" documentId="13_ncr:1_{934616D4-97AB-4BF3-AB1D-CF08CE4E7B75}" xr6:coauthVersionLast="47" xr6:coauthVersionMax="47" xr10:uidLastSave="{00000000-0000-0000-0000-000000000000}"/>
  <bookViews>
    <workbookView xWindow="-110" yWindow="-110" windowWidth="25820" windowHeight="15500" firstSheet="1" activeTab="2" xr2:uid="{00000000-000D-0000-FFFF-FFFF00000000}"/>
  </bookViews>
  <sheets>
    <sheet name="RiskSerializationData" sheetId="8" state="hidden" r:id="rId1"/>
    <sheet name="Input" sheetId="5" r:id="rId2"/>
    <sheet name="Project IRR" sheetId="6" r:id="rId3"/>
    <sheet name="Sheet2" sheetId="2" r:id="rId4"/>
    <sheet name="Sheet3" sheetId="3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"QZGRNPUPR959A5PGX3YE949G"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"$U$25"</definedName>
    <definedName name="RiskSelectedNameCell1" hidden="1">"$A$25"</definedName>
    <definedName name="RiskSelectedNameCell2" hidden="1">"$U$2"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C10" i="5"/>
  <c r="G19" i="6" l="1"/>
  <c r="G20" i="6"/>
  <c r="G22" i="6"/>
  <c r="G21" i="6"/>
  <c r="G23" i="6"/>
  <c r="B4" i="6" l="1"/>
  <c r="X4" i="6"/>
  <c r="X5" i="6" s="1"/>
  <c r="X6" i="6" s="1"/>
  <c r="X7" i="6" s="1"/>
  <c r="X8" i="6" s="1"/>
  <c r="X9" i="6" s="1"/>
  <c r="X10" i="6" s="1"/>
  <c r="X11" i="6" s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C29" i="5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X25" i="6" l="1"/>
  <c r="B5" i="6"/>
  <c r="B6" i="6" s="1"/>
  <c r="L12" i="6"/>
  <c r="L7" i="6"/>
  <c r="L9" i="6"/>
  <c r="L16" i="6"/>
  <c r="L21" i="6"/>
  <c r="L11" i="6"/>
  <c r="D17" i="6"/>
  <c r="D5" i="6"/>
  <c r="D11" i="6"/>
  <c r="D21" i="6"/>
  <c r="D13" i="6"/>
  <c r="D16" i="6"/>
  <c r="L22" i="6"/>
  <c r="D15" i="6"/>
  <c r="D8" i="6"/>
  <c r="O3" i="6"/>
  <c r="P3" i="6" s="1"/>
  <c r="D19" i="6"/>
  <c r="E4" i="6"/>
  <c r="D12" i="6"/>
  <c r="D4" i="6"/>
  <c r="L14" i="6"/>
  <c r="D23" i="6"/>
  <c r="L10" i="6"/>
  <c r="D7" i="6"/>
  <c r="L13" i="6"/>
  <c r="L19" i="6"/>
  <c r="D22" i="6"/>
  <c r="L18" i="6"/>
  <c r="D6" i="6"/>
  <c r="L5" i="6"/>
  <c r="D18" i="6"/>
  <c r="D9" i="6"/>
  <c r="L17" i="6"/>
  <c r="L15" i="6"/>
  <c r="J3" i="6"/>
  <c r="G4" i="6" s="1"/>
  <c r="D10" i="6"/>
  <c r="L23" i="6"/>
  <c r="L4" i="6"/>
  <c r="L6" i="6"/>
  <c r="D20" i="6"/>
  <c r="L20" i="6"/>
  <c r="D14" i="6"/>
  <c r="L8" i="6"/>
  <c r="F4" i="6" l="1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C5" i="6"/>
  <c r="F5" i="6" s="1"/>
  <c r="Y5" i="6" s="1"/>
  <c r="I4" i="6"/>
  <c r="H4" i="6" s="1"/>
  <c r="L25" i="6"/>
  <c r="D25" i="6"/>
  <c r="G11" i="6"/>
  <c r="G9" i="6"/>
  <c r="G7" i="6"/>
  <c r="G5" i="6"/>
  <c r="G10" i="6"/>
  <c r="G12" i="6"/>
  <c r="G17" i="6"/>
  <c r="G15" i="6"/>
  <c r="G18" i="6"/>
  <c r="G8" i="6"/>
  <c r="G14" i="6"/>
  <c r="G16" i="6"/>
  <c r="G13" i="6"/>
  <c r="G6" i="6"/>
  <c r="Y4" i="6"/>
  <c r="K4" i="6"/>
  <c r="E25" i="6"/>
  <c r="B7" i="6"/>
  <c r="C6" i="6"/>
  <c r="F6" i="6" s="1"/>
  <c r="Y6" i="6" s="1"/>
  <c r="S3" i="6"/>
  <c r="Q3" i="6"/>
  <c r="K5" i="6" l="1"/>
  <c r="G25" i="6"/>
  <c r="Z5" i="6"/>
  <c r="Z6" i="6"/>
  <c r="K6" i="6"/>
  <c r="T3" i="6"/>
  <c r="B8" i="6"/>
  <c r="C7" i="6"/>
  <c r="Z4" i="6"/>
  <c r="M4" i="6"/>
  <c r="J4" i="6"/>
  <c r="I5" i="6" l="1"/>
  <c r="F7" i="6"/>
  <c r="N4" i="6"/>
  <c r="C8" i="6"/>
  <c r="F8" i="6" s="1"/>
  <c r="Y8" i="6" s="1"/>
  <c r="Z8" i="6" s="1"/>
  <c r="B9" i="6"/>
  <c r="K8" i="6" l="1"/>
  <c r="C9" i="6"/>
  <c r="F9" i="6" s="1"/>
  <c r="Y9" i="6" s="1"/>
  <c r="Z9" i="6" s="1"/>
  <c r="B10" i="6"/>
  <c r="Y7" i="6"/>
  <c r="K7" i="6"/>
  <c r="H5" i="6"/>
  <c r="M5" i="6"/>
  <c r="O4" i="6"/>
  <c r="Z7" i="6" l="1"/>
  <c r="B11" i="6"/>
  <c r="C10" i="6"/>
  <c r="F10" i="6" s="1"/>
  <c r="Y10" i="6" s="1"/>
  <c r="Z10" i="6" s="1"/>
  <c r="J5" i="6"/>
  <c r="P4" i="6"/>
  <c r="K9" i="6"/>
  <c r="N5" i="6"/>
  <c r="I6" i="6" l="1"/>
  <c r="K10" i="6"/>
  <c r="B12" i="6"/>
  <c r="C11" i="6"/>
  <c r="F11" i="6" s="1"/>
  <c r="S4" i="6"/>
  <c r="U4" i="6"/>
  <c r="Q4" i="6"/>
  <c r="O5" i="6"/>
  <c r="Y11" i="6" l="1"/>
  <c r="H6" i="6"/>
  <c r="M6" i="6"/>
  <c r="P5" i="6"/>
  <c r="Q5" i="6" s="1"/>
  <c r="T4" i="6"/>
  <c r="B13" i="6"/>
  <c r="C12" i="6"/>
  <c r="F12" i="6" s="1"/>
  <c r="Y12" i="6" s="1"/>
  <c r="Z12" i="6" s="1"/>
  <c r="K11" i="6"/>
  <c r="V4" i="6" l="1"/>
  <c r="K12" i="6"/>
  <c r="N6" i="6"/>
  <c r="Z11" i="6"/>
  <c r="J6" i="6"/>
  <c r="C13" i="6"/>
  <c r="F13" i="6" s="1"/>
  <c r="Y13" i="6" s="1"/>
  <c r="Z13" i="6" s="1"/>
  <c r="B14" i="6"/>
  <c r="S5" i="6"/>
  <c r="U5" i="6"/>
  <c r="I7" i="6" l="1"/>
  <c r="B15" i="6"/>
  <c r="C14" i="6"/>
  <c r="F14" i="6" s="1"/>
  <c r="Y14" i="6" s="1"/>
  <c r="Z14" i="6" s="1"/>
  <c r="K13" i="6"/>
  <c r="O6" i="6"/>
  <c r="T5" i="6"/>
  <c r="K14" i="6" l="1"/>
  <c r="P6" i="6"/>
  <c r="V5" i="6"/>
  <c r="B16" i="6"/>
  <c r="C15" i="6"/>
  <c r="F15" i="6" s="1"/>
  <c r="Y15" i="6" s="1"/>
  <c r="H7" i="6"/>
  <c r="M7" i="6"/>
  <c r="K15" i="6" l="1"/>
  <c r="B17" i="6"/>
  <c r="C16" i="6"/>
  <c r="F16" i="6" s="1"/>
  <c r="Y16" i="6" s="1"/>
  <c r="Z16" i="6" s="1"/>
  <c r="N7" i="6"/>
  <c r="S6" i="6"/>
  <c r="Q6" i="6"/>
  <c r="U6" i="6"/>
  <c r="J7" i="6"/>
  <c r="Z15" i="6"/>
  <c r="T6" i="6" l="1"/>
  <c r="K16" i="6"/>
  <c r="I8" i="6"/>
  <c r="O7" i="6"/>
  <c r="C17" i="6"/>
  <c r="F17" i="6" s="1"/>
  <c r="Y17" i="6" s="1"/>
  <c r="B18" i="6"/>
  <c r="Z17" i="6" l="1"/>
  <c r="H8" i="6"/>
  <c r="M8" i="6"/>
  <c r="V6" i="6"/>
  <c r="P7" i="6"/>
  <c r="B19" i="6"/>
  <c r="C18" i="6"/>
  <c r="F18" i="6" s="1"/>
  <c r="Y18" i="6" s="1"/>
  <c r="Z18" i="6" s="1"/>
  <c r="K17" i="6"/>
  <c r="S7" i="6" l="1"/>
  <c r="T7" i="6" s="1"/>
  <c r="U7" i="6"/>
  <c r="Q7" i="6"/>
  <c r="C19" i="6"/>
  <c r="F19" i="6" s="1"/>
  <c r="Y19" i="6" s="1"/>
  <c r="Z19" i="6" s="1"/>
  <c r="B20" i="6"/>
  <c r="K18" i="6"/>
  <c r="N8" i="6"/>
  <c r="J8" i="6"/>
  <c r="I9" i="6" l="1"/>
  <c r="B21" i="6"/>
  <c r="C20" i="6"/>
  <c r="F20" i="6" s="1"/>
  <c r="Y20" i="6" s="1"/>
  <c r="Z20" i="6" s="1"/>
  <c r="K19" i="6"/>
  <c r="V7" i="6"/>
  <c r="O8" i="6"/>
  <c r="P8" i="6" s="1"/>
  <c r="B22" i="6" l="1"/>
  <c r="C21" i="6"/>
  <c r="F21" i="6" s="1"/>
  <c r="Y21" i="6" s="1"/>
  <c r="Z21" i="6" s="1"/>
  <c r="S8" i="6"/>
  <c r="T8" i="6" s="1"/>
  <c r="U8" i="6"/>
  <c r="Q8" i="6"/>
  <c r="K20" i="6"/>
  <c r="H9" i="6"/>
  <c r="J9" i="6" s="1"/>
  <c r="M9" i="6"/>
  <c r="N9" i="6" s="1"/>
  <c r="O9" i="6" l="1"/>
  <c r="P9" i="6" s="1"/>
  <c r="S9" i="6" s="1"/>
  <c r="T9" i="6" s="1"/>
  <c r="V8" i="6"/>
  <c r="B23" i="6"/>
  <c r="C22" i="6"/>
  <c r="F22" i="6" s="1"/>
  <c r="Y22" i="6" s="1"/>
  <c r="Z22" i="6" s="1"/>
  <c r="I10" i="6"/>
  <c r="K21" i="6"/>
  <c r="U9" i="6" l="1"/>
  <c r="Q9" i="6"/>
  <c r="K22" i="6"/>
  <c r="V9" i="6"/>
  <c r="H10" i="6"/>
  <c r="J10" i="6" s="1"/>
  <c r="M10" i="6"/>
  <c r="N10" i="6" s="1"/>
  <c r="C23" i="6"/>
  <c r="B25" i="6"/>
  <c r="O10" i="6" l="1"/>
  <c r="P10" i="6" s="1"/>
  <c r="S10" i="6" s="1"/>
  <c r="T10" i="6" s="1"/>
  <c r="I11" i="6"/>
  <c r="F23" i="6"/>
  <c r="C25" i="6"/>
  <c r="U10" i="6" l="1"/>
  <c r="Q10" i="6"/>
  <c r="Y23" i="6"/>
  <c r="F25" i="6"/>
  <c r="K23" i="6"/>
  <c r="H11" i="6"/>
  <c r="J11" i="6" s="1"/>
  <c r="M11" i="6"/>
  <c r="N11" i="6" s="1"/>
  <c r="V10" i="6"/>
  <c r="O11" i="6" l="1"/>
  <c r="P11" i="6" s="1"/>
  <c r="S11" i="6" s="1"/>
  <c r="T11" i="6" s="1"/>
  <c r="K25" i="6"/>
  <c r="I12" i="6"/>
  <c r="Z23" i="6"/>
  <c r="Z25" i="6" s="1"/>
  <c r="Y25" i="6"/>
  <c r="Q11" i="6" l="1"/>
  <c r="U11" i="6"/>
  <c r="H12" i="6"/>
  <c r="J12" i="6" s="1"/>
  <c r="M12" i="6"/>
  <c r="N12" i="6" s="1"/>
  <c r="V11" i="6"/>
  <c r="O12" i="6" l="1"/>
  <c r="P12" i="6" s="1"/>
  <c r="S12" i="6" s="1"/>
  <c r="T12" i="6" s="1"/>
  <c r="I13" i="6"/>
  <c r="U12" i="6" l="1"/>
  <c r="Q12" i="6"/>
  <c r="H13" i="6"/>
  <c r="J13" i="6" s="1"/>
  <c r="M13" i="6"/>
  <c r="N13" i="6" s="1"/>
  <c r="V12" i="6"/>
  <c r="O13" i="6" l="1"/>
  <c r="P13" i="6" s="1"/>
  <c r="S13" i="6" s="1"/>
  <c r="T13" i="6" s="1"/>
  <c r="I14" i="6"/>
  <c r="Q13" i="6" l="1"/>
  <c r="U13" i="6"/>
  <c r="H14" i="6"/>
  <c r="J14" i="6" s="1"/>
  <c r="M14" i="6"/>
  <c r="N14" i="6" s="1"/>
  <c r="V13" i="6"/>
  <c r="O14" i="6" l="1"/>
  <c r="P14" i="6" s="1"/>
  <c r="S14" i="6" s="1"/>
  <c r="T14" i="6" s="1"/>
  <c r="I15" i="6"/>
  <c r="Q14" i="6" l="1"/>
  <c r="U14" i="6"/>
  <c r="H15" i="6"/>
  <c r="J15" i="6" s="1"/>
  <c r="M15" i="6"/>
  <c r="N15" i="6" s="1"/>
  <c r="V14" i="6"/>
  <c r="O15" i="6" l="1"/>
  <c r="P15" i="6" s="1"/>
  <c r="S15" i="6" s="1"/>
  <c r="T15" i="6" s="1"/>
  <c r="I16" i="6"/>
  <c r="U15" i="6" l="1"/>
  <c r="Q15" i="6"/>
  <c r="H16" i="6"/>
  <c r="J16" i="6" s="1"/>
  <c r="M16" i="6"/>
  <c r="N16" i="6" s="1"/>
  <c r="V15" i="6"/>
  <c r="O16" i="6" l="1"/>
  <c r="P16" i="6" s="1"/>
  <c r="S16" i="6" s="1"/>
  <c r="T16" i="6" s="1"/>
  <c r="I17" i="6"/>
  <c r="U16" i="6" l="1"/>
  <c r="Q16" i="6"/>
  <c r="H17" i="6"/>
  <c r="J17" i="6" s="1"/>
  <c r="M17" i="6"/>
  <c r="N17" i="6" s="1"/>
  <c r="V16" i="6"/>
  <c r="O17" i="6" l="1"/>
  <c r="P17" i="6" s="1"/>
  <c r="S17" i="6" s="1"/>
  <c r="T17" i="6" s="1"/>
  <c r="U17" i="6"/>
  <c r="I18" i="6"/>
  <c r="Q17" i="6" l="1"/>
  <c r="H18" i="6"/>
  <c r="J18" i="6" s="1"/>
  <c r="M18" i="6"/>
  <c r="N18" i="6" s="1"/>
  <c r="V17" i="6"/>
  <c r="O18" i="6" l="1"/>
  <c r="P18" i="6" s="1"/>
  <c r="S18" i="6" s="1"/>
  <c r="T18" i="6" s="1"/>
  <c r="I19" i="6"/>
  <c r="U18" i="6" l="1"/>
  <c r="Q18" i="6"/>
  <c r="H19" i="6"/>
  <c r="J19" i="6" s="1"/>
  <c r="M19" i="6"/>
  <c r="N19" i="6" s="1"/>
  <c r="O19" i="6" s="1"/>
  <c r="P19" i="6" s="1"/>
  <c r="V18" i="6"/>
  <c r="S19" i="6" l="1"/>
  <c r="T19" i="6" s="1"/>
  <c r="U19" i="6"/>
  <c r="Q19" i="6"/>
  <c r="I20" i="6"/>
  <c r="H20" i="6" l="1"/>
  <c r="J20" i="6" s="1"/>
  <c r="M20" i="6"/>
  <c r="N20" i="6" s="1"/>
  <c r="V19" i="6"/>
  <c r="O20" i="6" l="1"/>
  <c r="P20" i="6" s="1"/>
  <c r="S20" i="6" s="1"/>
  <c r="T20" i="6" s="1"/>
  <c r="U20" i="6"/>
  <c r="I21" i="6"/>
  <c r="Q20" i="6" l="1"/>
  <c r="H21" i="6"/>
  <c r="J21" i="6" s="1"/>
  <c r="M21" i="6"/>
  <c r="N21" i="6" s="1"/>
  <c r="V20" i="6"/>
  <c r="O21" i="6" l="1"/>
  <c r="P21" i="6" s="1"/>
  <c r="U21" i="6" s="1"/>
  <c r="I22" i="6"/>
  <c r="S21" i="6" l="1"/>
  <c r="T21" i="6" s="1"/>
  <c r="V21" i="6" s="1"/>
  <c r="Q21" i="6"/>
  <c r="H22" i="6"/>
  <c r="J22" i="6" s="1"/>
  <c r="M22" i="6"/>
  <c r="N22" i="6" s="1"/>
  <c r="O22" i="6" s="1"/>
  <c r="P22" i="6" s="1"/>
  <c r="S22" i="6" l="1"/>
  <c r="T22" i="6" s="1"/>
  <c r="U22" i="6"/>
  <c r="Q22" i="6"/>
  <c r="I23" i="6"/>
  <c r="H23" i="6" l="1"/>
  <c r="I25" i="6"/>
  <c r="M23" i="6"/>
  <c r="V22" i="6"/>
  <c r="N23" i="6" l="1"/>
  <c r="M25" i="6"/>
  <c r="H25" i="6"/>
  <c r="J23" i="6"/>
  <c r="J25" i="6" s="1"/>
  <c r="N25" i="6" l="1"/>
  <c r="O23" i="6"/>
  <c r="O25" i="6" l="1"/>
  <c r="P23" i="6"/>
  <c r="S23" i="6" l="1"/>
  <c r="U23" i="6"/>
  <c r="U25" i="6" s="1"/>
  <c r="P25" i="6"/>
  <c r="Q23" i="6"/>
  <c r="Q25" i="6" s="1"/>
  <c r="S25" i="6" l="1"/>
  <c r="T23" i="6"/>
  <c r="T25" i="6" s="1"/>
  <c r="V23" i="6" l="1"/>
  <c r="V2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Athanasios</author>
  </authors>
  <commentList>
    <comment ref="C8" authorId="0" shapeId="0" xr:uid="{00000000-0006-0000-0100-000001000000}">
      <text/>
    </comment>
    <comment ref="C13" authorId="0" shapeId="0" xr:uid="{00000000-0006-0000-0100-000002000000}">
      <text/>
    </comment>
  </commentList>
</comments>
</file>

<file path=xl/sharedStrings.xml><?xml version="1.0" encoding="utf-8"?>
<sst xmlns="http://schemas.openxmlformats.org/spreadsheetml/2006/main" count="67" uniqueCount="64">
  <si>
    <t>ΣΥΝΟΛΟ</t>
  </si>
  <si>
    <t>IRR (%)</t>
  </si>
  <si>
    <t>GraphThumbnail</t>
  </si>
  <si>
    <t>With yellow colour, the cells you insert values</t>
  </si>
  <si>
    <t>Capital</t>
  </si>
  <si>
    <t>Renewable capacity (kW)</t>
  </si>
  <si>
    <t>Installation cost (€/kW)</t>
  </si>
  <si>
    <t>Investment cost (€)</t>
  </si>
  <si>
    <t>Loan</t>
  </si>
  <si>
    <t>Loan share</t>
  </si>
  <si>
    <t>loan interest (%)</t>
  </si>
  <si>
    <t>Loan duration (years)</t>
  </si>
  <si>
    <t>Revenues</t>
  </si>
  <si>
    <t>Feed-InTariff price (€/MWh)</t>
  </si>
  <si>
    <t xml:space="preserve">Electrictiy generation MWh/kW </t>
  </si>
  <si>
    <t>Annual efficiency decrease (%)</t>
  </si>
  <si>
    <t>Tax</t>
  </si>
  <si>
    <t>Tax (%)</t>
  </si>
  <si>
    <t>Depreciation (%)</t>
  </si>
  <si>
    <t>Expenses</t>
  </si>
  <si>
    <t>Insurance cost</t>
  </si>
  <si>
    <t>Land rent (% of total groos revenues)</t>
  </si>
  <si>
    <t>Operating expenses (% of initial investment cost)</t>
  </si>
  <si>
    <t>Rest economic figures</t>
  </si>
  <si>
    <t>Inflation (%)</t>
  </si>
  <si>
    <t>Weighted Average Cost of Capital - WACC (%) **</t>
  </si>
  <si>
    <t>Discount rate (%)*</t>
  </si>
  <si>
    <t xml:space="preserve">In sheet "Project IRR" cells S25, Τ25 and U25 are the NPV, IRR and years of depreciation onf the investment - for the whole investment (Project) </t>
  </si>
  <si>
    <t>University of Piraeus</t>
  </si>
  <si>
    <t>Toll for estimation of Internal Rate of Return (IRR) and Net Present Value (NPV) of investments</t>
  </si>
  <si>
    <t>Year</t>
  </si>
  <si>
    <t xml:space="preserve">Revenues (€) </t>
  </si>
  <si>
    <t xml:space="preserve">Expenses (€) </t>
  </si>
  <si>
    <t>Gross revenues</t>
  </si>
  <si>
    <t>Rent</t>
  </si>
  <si>
    <t>Insurance</t>
  </si>
  <si>
    <t>Operating costs</t>
  </si>
  <si>
    <t>Total</t>
  </si>
  <si>
    <t xml:space="preserve">Loan (€) </t>
  </si>
  <si>
    <t>Interest</t>
  </si>
  <si>
    <t>Remaining Loan</t>
  </si>
  <si>
    <t>Annual installment+interest</t>
  </si>
  <si>
    <t>Installment</t>
  </si>
  <si>
    <t xml:space="preserve">EBITDA </t>
  </si>
  <si>
    <t>Depreciation</t>
  </si>
  <si>
    <t xml:space="preserve">EBT </t>
  </si>
  <si>
    <t xml:space="preserve">Taxation (€) </t>
  </si>
  <si>
    <t>Net Cash Flow</t>
  </si>
  <si>
    <t xml:space="preserve">Nominal values (€) </t>
  </si>
  <si>
    <t>Free Net Cash Flow</t>
  </si>
  <si>
    <t>Cummulative Net Cash Flow</t>
  </si>
  <si>
    <t>Discount factor</t>
  </si>
  <si>
    <t>Present values (€)</t>
  </si>
  <si>
    <t>Years of depreciation</t>
  </si>
  <si>
    <t>Energy produced (MWh)</t>
  </si>
  <si>
    <t>Variable production cost (Euro/MWh)</t>
  </si>
  <si>
    <t>Total production cost (Euro/MWh)</t>
  </si>
  <si>
    <r>
      <t>** In the estimation of the Weighted Average Cost of Capital (</t>
    </r>
    <r>
      <rPr>
        <b/>
        <sz val="10"/>
        <rFont val="Arial"/>
        <family val="2"/>
        <charset val="161"/>
      </rPr>
      <t>WACC</t>
    </r>
    <r>
      <rPr>
        <sz val="10"/>
        <rFont val="Arial"/>
        <family val="2"/>
      </rPr>
      <t>), in the contribution on Loan, the impact of ta is considered</t>
    </r>
  </si>
  <si>
    <t>* represents the Cost-of-Capital rate for Equity that satisifes an investor</t>
  </si>
  <si>
    <r>
      <rPr>
        <b/>
        <sz val="10"/>
        <rFont val="Arial"/>
        <family val="2"/>
        <charset val="161"/>
      </rPr>
      <t>ColumnsΤ and U:</t>
    </r>
    <r>
      <rPr>
        <sz val="10"/>
        <rFont val="Arial"/>
        <family val="2"/>
      </rPr>
      <t xml:space="preserve"> At the point where cumulative Net Cash Flow (in Present Value) is 0, then IRR equals to the Discount Rate (Cost-of-Capital rate for Equity or WACC for the whole investment - Project)</t>
    </r>
  </si>
  <si>
    <r>
      <rPr>
        <b/>
        <sz val="10"/>
        <rFont val="Arial"/>
        <family val="2"/>
        <charset val="161"/>
      </rPr>
      <t>Column Τ: IRR</t>
    </r>
    <r>
      <rPr>
        <sz val="10"/>
        <rFont val="Arial"/>
        <family val="2"/>
      </rPr>
      <t xml:space="preserve"> is estimated based on the Nominal values fo Net Cash Flows (and not the values in PV), so it is not affected by the discount rate (Cost-of-Capital rate for Equity or WACC for the whole investment - Project)</t>
    </r>
  </si>
  <si>
    <r>
      <rPr>
        <b/>
        <sz val="10"/>
        <rFont val="Arial"/>
        <family val="2"/>
        <charset val="161"/>
      </rPr>
      <t>Column Ο</t>
    </r>
    <r>
      <rPr>
        <sz val="10"/>
        <rFont val="Arial"/>
        <family val="2"/>
      </rPr>
      <t xml:space="preserve">: In the cells with negative values, means nbegaive cash flows for the invesntment, which a very important parameter, besides IRR </t>
    </r>
  </si>
  <si>
    <r>
      <rPr>
        <b/>
        <sz val="10"/>
        <rFont val="Arial"/>
        <family val="2"/>
        <charset val="161"/>
      </rPr>
      <t>Graph</t>
    </r>
    <r>
      <rPr>
        <sz val="10"/>
        <rFont val="Arial"/>
        <family val="2"/>
      </rPr>
      <t>: In the point where the Cumulative Net Cahs Flow iun Present Value meets the horizontal axis, is the year where the project is depreciated</t>
    </r>
  </si>
  <si>
    <t>Athanasios Dagoumas: Associate Professor in Energy and Resource Economics, University of Piraeus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</si>
</sst>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  <charset val="16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8">
    <xf numFmtId="0" fontId="0" fillId="0" borderId="0" xfId="0"/>
    <xf numFmtId="2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3" borderId="11" xfId="0" applyNumberFormat="1" applyFont="1" applyFill="1" applyBorder="1"/>
    <xf numFmtId="3" fontId="2" fillId="0" borderId="13" xfId="0" applyNumberFormat="1" applyFont="1" applyBorder="1"/>
    <xf numFmtId="3" fontId="0" fillId="0" borderId="6" xfId="0" applyNumberFormat="1" applyBorder="1"/>
    <xf numFmtId="3" fontId="0" fillId="0" borderId="14" xfId="0" applyNumberFormat="1" applyBorder="1"/>
    <xf numFmtId="3" fontId="2" fillId="0" borderId="14" xfId="0" applyNumberFormat="1" applyFont="1" applyBorder="1"/>
    <xf numFmtId="3" fontId="0" fillId="0" borderId="16" xfId="0" applyNumberFormat="1" applyBorder="1"/>
    <xf numFmtId="3" fontId="0" fillId="0" borderId="5" xfId="0" applyNumberFormat="1" applyBorder="1"/>
    <xf numFmtId="3" fontId="0" fillId="0" borderId="17" xfId="0" applyNumberFormat="1" applyBorder="1"/>
    <xf numFmtId="3" fontId="0" fillId="3" borderId="20" xfId="0" applyNumberFormat="1" applyFill="1" applyBorder="1"/>
    <xf numFmtId="3" fontId="0" fillId="3" borderId="5" xfId="0" applyNumberFormat="1" applyFill="1" applyBorder="1"/>
    <xf numFmtId="3" fontId="0" fillId="3" borderId="21" xfId="0" applyNumberFormat="1" applyFill="1" applyBorder="1"/>
    <xf numFmtId="3" fontId="0" fillId="3" borderId="17" xfId="0" applyNumberFormat="1" applyFill="1" applyBorder="1"/>
    <xf numFmtId="3" fontId="0" fillId="3" borderId="16" xfId="0" applyNumberFormat="1" applyFill="1" applyBorder="1"/>
    <xf numFmtId="3" fontId="0" fillId="3" borderId="19" xfId="0" applyNumberFormat="1" applyFill="1" applyBorder="1"/>
    <xf numFmtId="3" fontId="0" fillId="3" borderId="18" xfId="0" applyNumberFormat="1" applyFill="1" applyBorder="1"/>
    <xf numFmtId="3" fontId="0" fillId="3" borderId="25" xfId="0" applyNumberFormat="1" applyFill="1" applyBorder="1"/>
    <xf numFmtId="3" fontId="0" fillId="0" borderId="27" xfId="0" applyNumberFormat="1" applyBorder="1"/>
    <xf numFmtId="3" fontId="0" fillId="3" borderId="28" xfId="0" applyNumberFormat="1" applyFill="1" applyBorder="1"/>
    <xf numFmtId="3" fontId="0" fillId="3" borderId="4" xfId="0" applyNumberFormat="1" applyFill="1" applyBorder="1"/>
    <xf numFmtId="0" fontId="2" fillId="0" borderId="27" xfId="0" applyFont="1" applyBorder="1"/>
    <xf numFmtId="0" fontId="2" fillId="0" borderId="28" xfId="0" applyFont="1" applyBorder="1"/>
    <xf numFmtId="0" fontId="2" fillId="3" borderId="28" xfId="0" applyFont="1" applyFill="1" applyBorder="1"/>
    <xf numFmtId="0" fontId="2" fillId="3" borderId="4" xfId="0" applyFont="1" applyFill="1" applyBorder="1"/>
    <xf numFmtId="2" fontId="0" fillId="0" borderId="29" xfId="0" applyNumberFormat="1" applyBorder="1"/>
    <xf numFmtId="0" fontId="0" fillId="3" borderId="30" xfId="0" applyFill="1" applyBorder="1"/>
    <xf numFmtId="0" fontId="0" fillId="3" borderId="23" xfId="0" applyFill="1" applyBorder="1"/>
    <xf numFmtId="0" fontId="2" fillId="3" borderId="0" xfId="0" applyFont="1" applyFill="1"/>
    <xf numFmtId="3" fontId="2" fillId="2" borderId="21" xfId="0" applyNumberFormat="1" applyFont="1" applyFill="1" applyBorder="1"/>
    <xf numFmtId="164" fontId="2" fillId="2" borderId="4" xfId="0" applyNumberFormat="1" applyFont="1" applyFill="1" applyBorder="1"/>
    <xf numFmtId="9" fontId="0" fillId="0" borderId="27" xfId="0" applyNumberFormat="1" applyBorder="1"/>
    <xf numFmtId="0" fontId="0" fillId="0" borderId="28" xfId="0" applyBorder="1"/>
    <xf numFmtId="3" fontId="2" fillId="2" borderId="31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0" fillId="0" borderId="33" xfId="0" applyBorder="1"/>
    <xf numFmtId="10" fontId="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0" fillId="0" borderId="35" xfId="0" applyBorder="1"/>
    <xf numFmtId="3" fontId="2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9" fontId="2" fillId="2" borderId="3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4" fontId="2" fillId="2" borderId="31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/>
    <xf numFmtId="0" fontId="0" fillId="0" borderId="39" xfId="0" applyBorder="1"/>
    <xf numFmtId="0" fontId="0" fillId="0" borderId="41" xfId="0" applyBorder="1"/>
    <xf numFmtId="3" fontId="0" fillId="0" borderId="42" xfId="0" applyNumberFormat="1" applyBorder="1"/>
    <xf numFmtId="9" fontId="2" fillId="3" borderId="24" xfId="0" applyNumberFormat="1" applyFont="1" applyFill="1" applyBorder="1"/>
    <xf numFmtId="3" fontId="2" fillId="0" borderId="11" xfId="0" applyNumberFormat="1" applyFont="1" applyBorder="1"/>
    <xf numFmtId="0" fontId="0" fillId="0" borderId="43" xfId="0" applyBorder="1"/>
    <xf numFmtId="3" fontId="0" fillId="0" borderId="44" xfId="0" applyNumberFormat="1" applyBorder="1"/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1" fontId="0" fillId="0" borderId="0" xfId="0" applyNumberFormat="1"/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0" fillId="0" borderId="44" xfId="0" applyBorder="1"/>
    <xf numFmtId="0" fontId="0" fillId="0" borderId="27" xfId="0" applyBorder="1"/>
    <xf numFmtId="0" fontId="2" fillId="2" borderId="4" xfId="0" applyFont="1" applyFill="1" applyBorder="1"/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2" fontId="0" fillId="0" borderId="9" xfId="0" applyNumberFormat="1" applyBorder="1"/>
    <xf numFmtId="1" fontId="0" fillId="0" borderId="8" xfId="0" applyNumberFormat="1" applyBorder="1"/>
    <xf numFmtId="0" fontId="0" fillId="0" borderId="50" xfId="0" applyBorder="1"/>
    <xf numFmtId="1" fontId="5" fillId="2" borderId="48" xfId="0" applyNumberFormat="1" applyFont="1" applyFill="1" applyBorder="1"/>
    <xf numFmtId="2" fontId="5" fillId="2" borderId="49" xfId="0" applyNumberFormat="1" applyFont="1" applyFill="1" applyBorder="1"/>
    <xf numFmtId="2" fontId="5" fillId="2" borderId="10" xfId="0" applyNumberFormat="1" applyFont="1" applyFill="1" applyBorder="1"/>
    <xf numFmtId="0" fontId="6" fillId="0" borderId="0" xfId="0" applyFont="1"/>
    <xf numFmtId="0" fontId="0" fillId="2" borderId="0" xfId="0" applyFill="1"/>
    <xf numFmtId="2" fontId="5" fillId="0" borderId="0" xfId="0" applyNumberFormat="1" applyFont="1"/>
    <xf numFmtId="4" fontId="5" fillId="0" borderId="0" xfId="0" applyNumberFormat="1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Cummulative Net</a:t>
            </a:r>
            <a:r>
              <a:rPr lang="en-US" baseline="0"/>
              <a:t> Cash Flow in Present Value</a:t>
            </a:r>
            <a:r>
              <a:rPr lang="el-GR" baseline="0"/>
              <a:t> </a:t>
            </a:r>
            <a:r>
              <a:rPr lang="en-US"/>
              <a:t>(€)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'Project IRR'!$T$2</c:f>
              <c:strCache>
                <c:ptCount val="1"/>
                <c:pt idx="0">
                  <c:v>Cummulative Net Cash Flow</c:v>
                </c:pt>
              </c:strCache>
            </c:strRef>
          </c:tx>
          <c:val>
            <c:numRef>
              <c:f>'Project IRR'!$T$3:$T$23</c:f>
              <c:numCache>
                <c:formatCode>#,##0</c:formatCode>
                <c:ptCount val="21"/>
                <c:pt idx="0">
                  <c:v>-10000000</c:v>
                </c:pt>
                <c:pt idx="1">
                  <c:v>-8768750.3872966692</c:v>
                </c:pt>
                <c:pt idx="2">
                  <c:v>-7588344.0329064783</c:v>
                </c:pt>
                <c:pt idx="3">
                  <c:v>-6456710.7940723225</c:v>
                </c:pt>
                <c:pt idx="4">
                  <c:v>-5371864.8294068985</c:v>
                </c:pt>
                <c:pt idx="5">
                  <c:v>-4331901.1543528335</c:v>
                </c:pt>
                <c:pt idx="6">
                  <c:v>-3334992.337879302</c:v>
                </c:pt>
                <c:pt idx="7">
                  <c:v>-2379385.3346072817</c:v>
                </c:pt>
                <c:pt idx="8">
                  <c:v>-1463398.4467949602</c:v>
                </c:pt>
                <c:pt idx="9">
                  <c:v>-585418.41084427747</c:v>
                </c:pt>
                <c:pt idx="10">
                  <c:v>256102.39679041482</c:v>
                </c:pt>
                <c:pt idx="11">
                  <c:v>1062648.6391996727</c:v>
                </c:pt>
                <c:pt idx="12">
                  <c:v>1835644.5888281367</c:v>
                </c:pt>
                <c:pt idx="13">
                  <c:v>2576456.5920075779</c:v>
                </c:pt>
                <c:pt idx="14">
                  <c:v>3286395.432539958</c:v>
                </c:pt>
                <c:pt idx="15">
                  <c:v>3966718.5984784421</c:v>
                </c:pt>
                <c:pt idx="16">
                  <c:v>4618632.4560834644</c:v>
                </c:pt>
                <c:pt idx="17">
                  <c:v>5244283.4993274882</c:v>
                </c:pt>
                <c:pt idx="18">
                  <c:v>5844738.3469474567</c:v>
                </c:pt>
                <c:pt idx="19">
                  <c:v>6421020.0370893879</c:v>
                </c:pt>
                <c:pt idx="20">
                  <c:v>6974109.815802604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6-4867-BFC1-745BF5D5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00064"/>
        <c:axId val="314602808"/>
      </c:lineChart>
      <c:catAx>
        <c:axId val="31460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22225"/>
        </c:spPr>
        <c:txPr>
          <a:bodyPr/>
          <a:lstStyle/>
          <a:p>
            <a:pPr>
              <a:defRPr b="1"/>
            </a:pPr>
            <a:endParaRPr lang="en-US"/>
          </a:p>
        </c:txPr>
        <c:crossAx val="314602808"/>
        <c:crosses val="autoZero"/>
        <c:auto val="1"/>
        <c:lblAlgn val="ctr"/>
        <c:lblOffset val="100"/>
        <c:noMultiLvlLbl val="0"/>
      </c:catAx>
      <c:valAx>
        <c:axId val="314602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60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Cash Flow in nominal values (€)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'Project IRR'!$A$2</c:f>
              <c:strCache>
                <c:ptCount val="1"/>
                <c:pt idx="0">
                  <c:v>Year</c:v>
                </c:pt>
              </c:strCache>
            </c:strRef>
          </c:tx>
          <c:invertIfNegative val="0"/>
          <c:val>
            <c:numRef>
              <c:f>'Project IRR'!$A$3:$A$23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7-499A-85B8-7834B4E34CA1}"/>
            </c:ext>
          </c:extLst>
        </c:ser>
        <c:ser>
          <c:idx val="1"/>
          <c:order val="1"/>
          <c:tx>
            <c:strRef>
              <c:f>'Project IRR'!$O$2</c:f>
              <c:strCache>
                <c:ptCount val="1"/>
                <c:pt idx="0">
                  <c:v>Net Cash Flow</c:v>
                </c:pt>
              </c:strCache>
            </c:strRef>
          </c:tx>
          <c:invertIfNegative val="0"/>
          <c:val>
            <c:numRef>
              <c:f>'Project IRR'!$O$3:$O$23</c:f>
              <c:numCache>
                <c:formatCode>#,##0</c:formatCode>
                <c:ptCount val="21"/>
                <c:pt idx="0">
                  <c:v>-10000000</c:v>
                </c:pt>
                <c:pt idx="1">
                  <c:v>882507.23874877952</c:v>
                </c:pt>
                <c:pt idx="2">
                  <c:v>869983.57835927373</c:v>
                </c:pt>
                <c:pt idx="3">
                  <c:v>857550.88976197853</c:v>
                </c:pt>
                <c:pt idx="4">
                  <c:v>845207.49994273705</c:v>
                </c:pt>
                <c:pt idx="5">
                  <c:v>832951.73735161056</c:v>
                </c:pt>
                <c:pt idx="6">
                  <c:v>820781.93158291711</c:v>
                </c:pt>
                <c:pt idx="7">
                  <c:v>808696.41305236192</c:v>
                </c:pt>
                <c:pt idx="8">
                  <c:v>796693.51267117308</c:v>
                </c:pt>
                <c:pt idx="9">
                  <c:v>784771.5615171378</c:v>
                </c:pt>
                <c:pt idx="10">
                  <c:v>772928.89050245169</c:v>
                </c:pt>
                <c:pt idx="11">
                  <c:v>761163.8300382772</c:v>
                </c:pt>
                <c:pt idx="12">
                  <c:v>749474.70969591686</c:v>
                </c:pt>
                <c:pt idx="13">
                  <c:v>737859.8578644956</c:v>
                </c:pt>
                <c:pt idx="14">
                  <c:v>726317.60140505445</c:v>
                </c:pt>
                <c:pt idx="15">
                  <c:v>714846.26530094713</c:v>
                </c:pt>
                <c:pt idx="16">
                  <c:v>1092571.5335556557</c:v>
                </c:pt>
                <c:pt idx="17">
                  <c:v>1082949.1642200989</c:v>
                </c:pt>
                <c:pt idx="18">
                  <c:v>1073426.9185778981</c:v>
                </c:pt>
                <c:pt idx="19">
                  <c:v>1064003.7953921189</c:v>
                </c:pt>
                <c:pt idx="20">
                  <c:v>1054678.8034381978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B-419F-BDF1-229CE877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602416"/>
        <c:axId val="314596928"/>
      </c:barChart>
      <c:catAx>
        <c:axId val="31460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596928"/>
        <c:crosses val="autoZero"/>
        <c:auto val="1"/>
        <c:lblAlgn val="ctr"/>
        <c:lblOffset val="100"/>
        <c:noMultiLvlLbl val="0"/>
      </c:catAx>
      <c:valAx>
        <c:axId val="31459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60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952499</xdr:colOff>
      <xdr:row>25</xdr:row>
      <xdr:rowOff>74789</xdr:rowOff>
    </xdr:from>
    <xdr:to>
      <xdr:col>17</xdr:col>
      <xdr:colOff>0</xdr:colOff>
      <xdr:row>48</xdr:row>
      <xdr:rowOff>70555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437444</xdr:colOff>
      <xdr:row>25</xdr:row>
      <xdr:rowOff>117122</xdr:rowOff>
    </xdr:from>
    <xdr:to>
      <xdr:col>27</xdr:col>
      <xdr:colOff>395111</xdr:colOff>
      <xdr:row>48</xdr:row>
      <xdr:rowOff>91722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/>
  </sheetViews>
  <sheetFormatPr defaultRowHeight="12.5" x14ac:dyDescent="0.25"/>
  <sheetData>
    <row r="1" spans="1:6" x14ac:dyDescent="0.25">
      <c r="A1">
        <v>0</v>
      </c>
      <c r="B1">
        <v>0</v>
      </c>
    </row>
    <row r="2" spans="1:6" x14ac:dyDescent="0.25">
      <c r="A2">
        <v>0</v>
      </c>
    </row>
    <row r="3" spans="1:6" x14ac:dyDescent="0.25">
      <c r="A3">
        <v>0</v>
      </c>
    </row>
    <row r="4" spans="1:6" x14ac:dyDescent="0.25">
      <c r="A4" t="b">
        <v>0</v>
      </c>
      <c r="B4">
        <v>15680</v>
      </c>
      <c r="C4">
        <v>7345</v>
      </c>
      <c r="D4">
        <v>7360</v>
      </c>
      <c r="E4">
        <v>0</v>
      </c>
    </row>
    <row r="5" spans="1:6" x14ac:dyDescent="0.25">
      <c r="A5" t="b">
        <v>0</v>
      </c>
      <c r="B5">
        <v>15680</v>
      </c>
      <c r="C5">
        <v>7345</v>
      </c>
      <c r="D5">
        <v>7360</v>
      </c>
      <c r="E5">
        <v>0</v>
      </c>
    </row>
    <row r="6" spans="1:6" x14ac:dyDescent="0.25">
      <c r="A6" t="b">
        <v>0</v>
      </c>
      <c r="B6">
        <v>15680</v>
      </c>
      <c r="C6">
        <v>7345</v>
      </c>
      <c r="D6">
        <v>7360</v>
      </c>
      <c r="E6">
        <v>0</v>
      </c>
    </row>
    <row r="7" spans="1:6" x14ac:dyDescent="0.25">
      <c r="A7" t="b">
        <v>0</v>
      </c>
      <c r="B7">
        <v>15680</v>
      </c>
      <c r="C7">
        <v>7345</v>
      </c>
      <c r="D7">
        <v>7360</v>
      </c>
      <c r="E7">
        <v>0</v>
      </c>
    </row>
    <row r="8" spans="1:6" x14ac:dyDescent="0.25">
      <c r="A8" t="b">
        <v>0</v>
      </c>
      <c r="B8">
        <v>15680</v>
      </c>
      <c r="C8">
        <v>7345</v>
      </c>
      <c r="D8">
        <v>7360</v>
      </c>
      <c r="E8">
        <v>0</v>
      </c>
    </row>
    <row r="9" spans="1:6" x14ac:dyDescent="0.25">
      <c r="A9">
        <v>1</v>
      </c>
    </row>
    <row r="10" spans="1:6" x14ac:dyDescent="0.25">
      <c r="A10" t="s">
        <v>2</v>
      </c>
    </row>
    <row r="11" spans="1:6" x14ac:dyDescent="0.25">
      <c r="A11">
        <v>0</v>
      </c>
      <c r="B11" t="b">
        <v>0</v>
      </c>
      <c r="C11" t="b">
        <v>0</v>
      </c>
      <c r="D11">
        <v>10</v>
      </c>
      <c r="E11">
        <v>0.95</v>
      </c>
      <c r="F1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5" zoomScale="153" workbookViewId="0">
      <selection activeCell="C28" sqref="C28"/>
    </sheetView>
  </sheetViews>
  <sheetFormatPr defaultColWidth="10.7265625" defaultRowHeight="12.5" x14ac:dyDescent="0.25"/>
  <cols>
    <col min="1" max="1" width="13.453125" customWidth="1"/>
    <col min="2" max="2" width="56.54296875" customWidth="1"/>
  </cols>
  <sheetData>
    <row r="1" spans="1:10" ht="13" x14ac:dyDescent="0.3">
      <c r="A1" s="112" t="s">
        <v>28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3" x14ac:dyDescent="0.3">
      <c r="A2" s="115" t="s">
        <v>29</v>
      </c>
      <c r="B2" s="116"/>
      <c r="C2" s="116"/>
      <c r="D2" s="116"/>
      <c r="E2" s="116"/>
      <c r="F2" s="116"/>
      <c r="G2" s="116"/>
      <c r="H2" s="116"/>
      <c r="I2" s="116"/>
      <c r="J2" s="117"/>
    </row>
    <row r="3" spans="1:10" ht="13.5" thickBot="1" x14ac:dyDescent="0.35">
      <c r="A3" s="118" t="s">
        <v>63</v>
      </c>
      <c r="B3" s="119"/>
      <c r="C3" s="119"/>
      <c r="D3" s="119"/>
      <c r="E3" s="119"/>
      <c r="F3" s="119"/>
      <c r="G3" s="119"/>
      <c r="H3" s="119"/>
      <c r="I3" s="119"/>
      <c r="J3" s="120"/>
    </row>
    <row r="5" spans="1:10" ht="13" thickBot="1" x14ac:dyDescent="0.3"/>
    <row r="6" spans="1:10" ht="13.5" thickBot="1" x14ac:dyDescent="0.35">
      <c r="A6" s="106" t="s">
        <v>3</v>
      </c>
      <c r="B6" s="107"/>
      <c r="C6" s="108"/>
    </row>
    <row r="7" spans="1:10" ht="13" thickBot="1" x14ac:dyDescent="0.3"/>
    <row r="8" spans="1:10" ht="13" x14ac:dyDescent="0.25">
      <c r="A8" s="109" t="s">
        <v>4</v>
      </c>
      <c r="B8" s="47" t="s">
        <v>5</v>
      </c>
      <c r="C8" s="41">
        <v>10000</v>
      </c>
    </row>
    <row r="9" spans="1:10" ht="12" customHeight="1" x14ac:dyDescent="0.25">
      <c r="A9" s="110"/>
      <c r="B9" s="48" t="s">
        <v>6</v>
      </c>
      <c r="C9" s="42">
        <v>1000</v>
      </c>
    </row>
    <row r="10" spans="1:10" ht="13.5" thickBot="1" x14ac:dyDescent="0.3">
      <c r="A10" s="111"/>
      <c r="B10" s="49" t="s">
        <v>7</v>
      </c>
      <c r="C10" s="51">
        <f>C8*C9</f>
        <v>10000000</v>
      </c>
    </row>
    <row r="11" spans="1:10" ht="13.5" thickBot="1" x14ac:dyDescent="0.3">
      <c r="A11" s="50"/>
      <c r="B11" s="52"/>
      <c r="C11" s="78"/>
    </row>
    <row r="12" spans="1:10" ht="12" customHeight="1" x14ac:dyDescent="0.25">
      <c r="A12" s="109" t="s">
        <v>8</v>
      </c>
      <c r="B12" s="47" t="s">
        <v>9</v>
      </c>
      <c r="C12" s="53">
        <v>0.5</v>
      </c>
    </row>
    <row r="13" spans="1:10" ht="13" x14ac:dyDescent="0.25">
      <c r="A13" s="110"/>
      <c r="B13" s="48" t="s">
        <v>10</v>
      </c>
      <c r="C13" s="43">
        <v>0.02</v>
      </c>
    </row>
    <row r="14" spans="1:10" ht="12" customHeight="1" thickBot="1" x14ac:dyDescent="0.3">
      <c r="A14" s="111"/>
      <c r="B14" s="49" t="s">
        <v>11</v>
      </c>
      <c r="C14" s="54">
        <v>15</v>
      </c>
    </row>
    <row r="15" spans="1:10" ht="13.5" thickBot="1" x14ac:dyDescent="0.3">
      <c r="A15" s="50"/>
      <c r="B15" s="52"/>
      <c r="C15" s="78"/>
    </row>
    <row r="16" spans="1:10" ht="12" customHeight="1" x14ac:dyDescent="0.25">
      <c r="A16" s="109" t="s">
        <v>12</v>
      </c>
      <c r="B16" s="47" t="s">
        <v>13</v>
      </c>
      <c r="C16" s="55">
        <v>100</v>
      </c>
    </row>
    <row r="17" spans="1:10" ht="12" customHeight="1" x14ac:dyDescent="0.25">
      <c r="A17" s="110"/>
      <c r="B17" s="48" t="s">
        <v>14</v>
      </c>
      <c r="C17" s="77">
        <v>1.5</v>
      </c>
    </row>
    <row r="18" spans="1:10" ht="12" customHeight="1" thickBot="1" x14ac:dyDescent="0.3">
      <c r="A18" s="111"/>
      <c r="B18" s="49" t="s">
        <v>15</v>
      </c>
      <c r="C18" s="56">
        <v>0.01</v>
      </c>
    </row>
    <row r="19" spans="1:10" ht="13.5" thickBot="1" x14ac:dyDescent="0.3">
      <c r="A19" s="50"/>
      <c r="B19" s="52"/>
      <c r="C19" s="79"/>
    </row>
    <row r="20" spans="1:10" ht="12" customHeight="1" x14ac:dyDescent="0.25">
      <c r="A20" s="109" t="s">
        <v>16</v>
      </c>
      <c r="B20" s="47" t="s">
        <v>17</v>
      </c>
      <c r="C20" s="57">
        <v>0.22</v>
      </c>
    </row>
    <row r="21" spans="1:10" ht="12" customHeight="1" thickBot="1" x14ac:dyDescent="0.3">
      <c r="A21" s="111"/>
      <c r="B21" s="49" t="s">
        <v>18</v>
      </c>
      <c r="C21" s="56">
        <v>0.05</v>
      </c>
    </row>
    <row r="22" spans="1:10" ht="13.5" thickBot="1" x14ac:dyDescent="0.3">
      <c r="A22" s="50"/>
      <c r="B22" s="52"/>
      <c r="C22" s="79"/>
    </row>
    <row r="23" spans="1:10" ht="13" x14ac:dyDescent="0.25">
      <c r="A23" s="109" t="s">
        <v>19</v>
      </c>
      <c r="B23" s="47" t="s">
        <v>20</v>
      </c>
      <c r="C23" s="57">
        <v>1E-3</v>
      </c>
    </row>
    <row r="24" spans="1:10" ht="12" customHeight="1" x14ac:dyDescent="0.25">
      <c r="A24" s="110"/>
      <c r="B24" s="48" t="s">
        <v>21</v>
      </c>
      <c r="C24" s="44">
        <v>5.0000000000000001E-3</v>
      </c>
    </row>
    <row r="25" spans="1:10" ht="13.5" thickBot="1" x14ac:dyDescent="0.3">
      <c r="A25" s="111"/>
      <c r="B25" s="49" t="s">
        <v>22</v>
      </c>
      <c r="C25" s="56">
        <v>2.1429999999999999E-3</v>
      </c>
    </row>
    <row r="26" spans="1:10" ht="13" thickBot="1" x14ac:dyDescent="0.3">
      <c r="A26" s="50"/>
      <c r="C26" s="45"/>
    </row>
    <row r="27" spans="1:10" ht="12" customHeight="1" x14ac:dyDescent="0.25">
      <c r="A27" s="109" t="s">
        <v>23</v>
      </c>
      <c r="B27" s="47" t="s">
        <v>24</v>
      </c>
      <c r="C27" s="57">
        <v>0</v>
      </c>
    </row>
    <row r="28" spans="1:10" ht="14.25" customHeight="1" x14ac:dyDescent="0.25">
      <c r="A28" s="110"/>
      <c r="B28" s="48" t="s">
        <v>26</v>
      </c>
      <c r="C28" s="44">
        <v>0.05</v>
      </c>
    </row>
    <row r="29" spans="1:10" ht="12" customHeight="1" thickBot="1" x14ac:dyDescent="0.3">
      <c r="A29" s="111"/>
      <c r="B29" s="49" t="s">
        <v>25</v>
      </c>
      <c r="C29" s="46">
        <f>C28*(1-C12)+C13*(1-C20)*C12</f>
        <v>3.2800000000000003E-2</v>
      </c>
    </row>
    <row r="32" spans="1:10" x14ac:dyDescent="0.25">
      <c r="A32" s="103" t="s">
        <v>58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x14ac:dyDescent="0.25">
      <c r="A33" s="103" t="s">
        <v>57</v>
      </c>
      <c r="B33" s="103"/>
      <c r="C33" s="103"/>
      <c r="D33" s="103"/>
      <c r="E33" s="103"/>
      <c r="F33" s="103"/>
      <c r="G33" s="103"/>
      <c r="H33" s="103"/>
      <c r="I33" s="103"/>
      <c r="J33" s="103"/>
    </row>
    <row r="34" spans="1:10" ht="26.15" customHeight="1" x14ac:dyDescent="0.3">
      <c r="A34" s="105" t="s">
        <v>27</v>
      </c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ht="26.15" customHeight="1" x14ac:dyDescent="0.25">
      <c r="A35" s="104" t="s">
        <v>60</v>
      </c>
      <c r="B35" s="103"/>
      <c r="C35" s="103"/>
      <c r="D35" s="103"/>
      <c r="E35" s="103"/>
      <c r="F35" s="103"/>
      <c r="G35" s="103"/>
      <c r="H35" s="103"/>
      <c r="I35" s="103"/>
      <c r="J35" s="103"/>
    </row>
    <row r="36" spans="1:10" ht="26.15" customHeight="1" x14ac:dyDescent="0.25">
      <c r="A36" s="104" t="s">
        <v>59</v>
      </c>
      <c r="B36" s="103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04" t="s">
        <v>61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04" t="s">
        <v>62</v>
      </c>
      <c r="B38" s="103"/>
      <c r="C38" s="103"/>
      <c r="D38" s="103"/>
      <c r="E38" s="103"/>
      <c r="F38" s="103"/>
      <c r="G38" s="103"/>
      <c r="H38" s="103"/>
      <c r="I38" s="103"/>
      <c r="J38" s="103"/>
    </row>
  </sheetData>
  <mergeCells count="17">
    <mergeCell ref="A1:J1"/>
    <mergeCell ref="A2:J2"/>
    <mergeCell ref="A3:J3"/>
    <mergeCell ref="A33:J33"/>
    <mergeCell ref="A35:J35"/>
    <mergeCell ref="A38:J38"/>
    <mergeCell ref="A34:J34"/>
    <mergeCell ref="A6:C6"/>
    <mergeCell ref="A36:J36"/>
    <mergeCell ref="A37:J37"/>
    <mergeCell ref="A8:A10"/>
    <mergeCell ref="A32:J32"/>
    <mergeCell ref="A27:A29"/>
    <mergeCell ref="A20:A21"/>
    <mergeCell ref="A23:A25"/>
    <mergeCell ref="A12:A14"/>
    <mergeCell ref="A16:A18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9"/>
  <sheetViews>
    <sheetView tabSelected="1" zoomScale="138" zoomScaleNormal="90" zoomScalePageLayoutView="90" workbookViewId="0">
      <selection activeCell="D4" sqref="D4"/>
    </sheetView>
  </sheetViews>
  <sheetFormatPr defaultColWidth="8.7265625" defaultRowHeight="12.5" x14ac:dyDescent="0.25"/>
  <cols>
    <col min="1" max="1" width="8.26953125" customWidth="1"/>
    <col min="2" max="4" width="11.453125" customWidth="1"/>
    <col min="5" max="6" width="12.453125" customWidth="1"/>
    <col min="7" max="7" width="16.1796875" customWidth="1"/>
    <col min="8" max="8" width="12.54296875" customWidth="1"/>
    <col min="9" max="9" width="10.453125" customWidth="1"/>
    <col min="10" max="10" width="12.453125" customWidth="1"/>
    <col min="11" max="11" width="16.26953125" customWidth="1"/>
    <col min="12" max="12" width="11.7265625" customWidth="1"/>
    <col min="13" max="13" width="15" customWidth="1"/>
    <col min="14" max="14" width="10.1796875" customWidth="1"/>
    <col min="15" max="15" width="10.90625" customWidth="1"/>
    <col min="16" max="16" width="11.7265625" customWidth="1"/>
    <col min="17" max="17" width="12.81640625" customWidth="1"/>
    <col min="18" max="18" width="14.26953125" customWidth="1"/>
    <col min="19" max="19" width="17" customWidth="1"/>
    <col min="20" max="20" width="12.54296875" customWidth="1"/>
    <col min="21" max="21" width="10.7265625" bestFit="1" customWidth="1"/>
    <col min="22" max="23" width="12.81640625" customWidth="1"/>
    <col min="24" max="24" width="11.81640625" customWidth="1"/>
    <col min="25" max="25" width="11.453125" customWidth="1"/>
    <col min="26" max="26" width="12.1796875" customWidth="1"/>
    <col min="28" max="28" width="10.81640625" customWidth="1"/>
    <col min="29" max="29" width="9.7265625" bestFit="1" customWidth="1"/>
    <col min="30" max="30" width="12.453125" customWidth="1"/>
    <col min="31" max="31" width="12" customWidth="1"/>
    <col min="32" max="32" width="11.7265625" customWidth="1"/>
    <col min="34" max="34" width="11.7265625" customWidth="1"/>
  </cols>
  <sheetData>
    <row r="1" spans="1:26" ht="13.5" thickBot="1" x14ac:dyDescent="0.35">
      <c r="A1" s="73"/>
      <c r="B1" s="76" t="s">
        <v>31</v>
      </c>
      <c r="C1" s="121" t="s">
        <v>32</v>
      </c>
      <c r="D1" s="123"/>
      <c r="E1" s="123"/>
      <c r="F1" s="124"/>
      <c r="G1" s="121" t="s">
        <v>38</v>
      </c>
      <c r="H1" s="123"/>
      <c r="I1" s="123"/>
      <c r="J1" s="124"/>
      <c r="K1" s="121" t="s">
        <v>46</v>
      </c>
      <c r="L1" s="123"/>
      <c r="M1" s="123"/>
      <c r="N1" s="124"/>
      <c r="O1" s="125" t="s">
        <v>48</v>
      </c>
      <c r="P1" s="126"/>
      <c r="Q1" s="127"/>
      <c r="R1" s="59"/>
      <c r="S1" s="121" t="s">
        <v>52</v>
      </c>
      <c r="T1" s="122"/>
      <c r="U1" s="60"/>
      <c r="V1" s="60"/>
      <c r="W1" s="83"/>
    </row>
    <row r="2" spans="1:26" ht="61.15" customHeight="1" thickBot="1" x14ac:dyDescent="0.3">
      <c r="A2" s="72" t="s">
        <v>30</v>
      </c>
      <c r="B2" s="72" t="s">
        <v>33</v>
      </c>
      <c r="C2" s="66" t="s">
        <v>34</v>
      </c>
      <c r="D2" s="75" t="s">
        <v>35</v>
      </c>
      <c r="E2" s="75" t="s">
        <v>36</v>
      </c>
      <c r="F2" s="70" t="s">
        <v>37</v>
      </c>
      <c r="G2" s="66" t="s">
        <v>41</v>
      </c>
      <c r="H2" s="75" t="s">
        <v>42</v>
      </c>
      <c r="I2" s="75" t="s">
        <v>39</v>
      </c>
      <c r="J2" s="70" t="s">
        <v>40</v>
      </c>
      <c r="K2" s="66" t="s">
        <v>43</v>
      </c>
      <c r="L2" s="67" t="s">
        <v>44</v>
      </c>
      <c r="M2" s="68" t="s">
        <v>45</v>
      </c>
      <c r="N2" s="69" t="s">
        <v>16</v>
      </c>
      <c r="O2" s="66" t="s">
        <v>47</v>
      </c>
      <c r="P2" s="66" t="s">
        <v>49</v>
      </c>
      <c r="Q2" s="70" t="s">
        <v>50</v>
      </c>
      <c r="R2" s="71" t="s">
        <v>51</v>
      </c>
      <c r="S2" s="66" t="s">
        <v>47</v>
      </c>
      <c r="T2" s="70" t="s">
        <v>50</v>
      </c>
      <c r="U2" s="72" t="s">
        <v>1</v>
      </c>
      <c r="V2" s="72" t="s">
        <v>53</v>
      </c>
      <c r="W2" s="84"/>
      <c r="X2" s="88" t="s">
        <v>54</v>
      </c>
      <c r="Y2" s="89" t="s">
        <v>55</v>
      </c>
      <c r="Z2" s="90" t="s">
        <v>56</v>
      </c>
    </row>
    <row r="3" spans="1:26" ht="13" x14ac:dyDescent="0.3">
      <c r="A3" s="74">
        <v>0</v>
      </c>
      <c r="B3" s="65"/>
      <c r="C3" s="7"/>
      <c r="D3" s="8"/>
      <c r="E3" s="8"/>
      <c r="F3" s="9"/>
      <c r="G3" s="10"/>
      <c r="H3" s="8"/>
      <c r="I3" s="8"/>
      <c r="J3" s="11">
        <f>Input!C$10*Input!C$12</f>
        <v>5000000</v>
      </c>
      <c r="K3" s="14"/>
      <c r="L3" s="13"/>
      <c r="M3" s="61"/>
      <c r="N3" s="62"/>
      <c r="O3" s="63">
        <f>-Input!C$10</f>
        <v>-10000000</v>
      </c>
      <c r="P3" s="63">
        <f>O3</f>
        <v>-10000000</v>
      </c>
      <c r="Q3" s="9">
        <f>P3</f>
        <v>-10000000</v>
      </c>
      <c r="R3" s="64">
        <v>1</v>
      </c>
      <c r="S3" s="63">
        <f>P3/R3</f>
        <v>-10000000</v>
      </c>
      <c r="T3" s="9">
        <f>S3</f>
        <v>-10000000</v>
      </c>
      <c r="U3" s="65"/>
      <c r="V3" s="85"/>
      <c r="W3" s="83"/>
      <c r="X3" s="91"/>
      <c r="Y3" s="80"/>
      <c r="Z3" s="92"/>
    </row>
    <row r="4" spans="1:26" ht="13" x14ac:dyDescent="0.3">
      <c r="A4" s="29">
        <v>1</v>
      </c>
      <c r="B4" s="26">
        <f>Input!C$8*Input!C$16*Input!C$17</f>
        <v>1500000</v>
      </c>
      <c r="C4" s="5">
        <f>Input!C$24*B4</f>
        <v>7500</v>
      </c>
      <c r="D4" s="2">
        <f>Input!C$10*Input!C$23</f>
        <v>10000</v>
      </c>
      <c r="E4" s="2">
        <f>Input!C$25*Input!C$10</f>
        <v>21430</v>
      </c>
      <c r="F4" s="6">
        <f>SUM(C4:E4)</f>
        <v>38930</v>
      </c>
      <c r="G4" s="5">
        <f>IF(A4&lt;=Input!C$14,-PMT(Input!C$13,Input!C$14,J$3),0)</f>
        <v>389127.36125122063</v>
      </c>
      <c r="H4" s="2">
        <f t="shared" ref="H4:H23" si="0">G4-I4</f>
        <v>289127.36125122063</v>
      </c>
      <c r="I4" s="2">
        <f>J3*Input!C$13</f>
        <v>100000</v>
      </c>
      <c r="J4" s="6">
        <f t="shared" ref="J4:J23" si="1">J3-H4</f>
        <v>4710872.638748779</v>
      </c>
      <c r="K4" s="12">
        <f>B4-F4</f>
        <v>1461070</v>
      </c>
      <c r="L4" s="12">
        <f>Input!C$10*Input!C$21</f>
        <v>500000</v>
      </c>
      <c r="M4" s="3">
        <f>K4-L4-I4</f>
        <v>861070</v>
      </c>
      <c r="N4" s="4">
        <f>IF(M4&gt;0,M4*Input!C$20,0)</f>
        <v>189435.4</v>
      </c>
      <c r="O4" s="5">
        <f>B4-F4-N4-I4-H4</f>
        <v>882507.23874877952</v>
      </c>
      <c r="P4" s="5">
        <f t="shared" ref="P4:P23" si="2">I4+O4+H4</f>
        <v>1271634.6000000001</v>
      </c>
      <c r="Q4" s="6">
        <f>Q3+P4</f>
        <v>-8728365.4000000004</v>
      </c>
      <c r="R4" s="33">
        <f>R3*(1+Input!C$29)</f>
        <v>1.0327999999999999</v>
      </c>
      <c r="S4" s="5">
        <f>P4/R4</f>
        <v>1231249.6127033308</v>
      </c>
      <c r="T4" s="6">
        <f>T3+S4</f>
        <v>-8768750.3872966692</v>
      </c>
      <c r="U4" s="39">
        <f>IRR($P$3:P4)</f>
        <v>-0.87283653999999999</v>
      </c>
      <c r="V4" s="86">
        <f t="shared" ref="V4:V23" si="3">IF(T4&gt;0,0,1)</f>
        <v>1</v>
      </c>
      <c r="W4" s="83"/>
      <c r="X4" s="91">
        <f>Input!$C$17*Input!$C$8</f>
        <v>15000</v>
      </c>
      <c r="Y4" s="81">
        <f t="shared" ref="Y4:Y23" si="4">F4/X4</f>
        <v>2.5953333333333335</v>
      </c>
      <c r="Z4" s="93">
        <f t="shared" ref="Z4:Z23" si="5">Y4+G4/X4</f>
        <v>28.537157416748041</v>
      </c>
    </row>
    <row r="5" spans="1:26" ht="13" x14ac:dyDescent="0.3">
      <c r="A5" s="29">
        <v>2</v>
      </c>
      <c r="B5" s="26">
        <f>B4*(1+(Input!C$27)/4)*(1-Input!C$18)</f>
        <v>1485000</v>
      </c>
      <c r="C5" s="5">
        <f>Input!C$24*B5</f>
        <v>7425</v>
      </c>
      <c r="D5" s="2">
        <f>Input!C$10*Input!C$23*(1-Input!C$21*A4)*(1+Input!C$27)</f>
        <v>9500</v>
      </c>
      <c r="E5" s="2">
        <f>E4*(1+Input!C$27)</f>
        <v>21430</v>
      </c>
      <c r="F5" s="6">
        <f t="shared" ref="F5:F23" si="6">SUM(C5:E5)</f>
        <v>38355</v>
      </c>
      <c r="G5" s="5">
        <f>IF(A5&lt;=Input!C$14,-PMT(Input!C$13,Input!C$14,J$3),0)</f>
        <v>389127.36125122063</v>
      </c>
      <c r="H5" s="2">
        <f t="shared" si="0"/>
        <v>294909.90847624507</v>
      </c>
      <c r="I5" s="2">
        <f>J4*Input!C$13</f>
        <v>94217.45277497558</v>
      </c>
      <c r="J5" s="6">
        <f t="shared" si="1"/>
        <v>4415962.7302725343</v>
      </c>
      <c r="K5" s="12">
        <f t="shared" ref="K5:K23" si="7">B5-F5</f>
        <v>1446645</v>
      </c>
      <c r="L5" s="12">
        <f>Input!C$10*Input!C$21</f>
        <v>500000</v>
      </c>
      <c r="M5" s="3">
        <f t="shared" ref="M5:M23" si="8">K5-L5-I5</f>
        <v>852427.54722502443</v>
      </c>
      <c r="N5" s="4">
        <f>IF(M5&gt;0,M5*Input!C$20,0)</f>
        <v>187534.06038950538</v>
      </c>
      <c r="O5" s="5">
        <f t="shared" ref="O5:O23" si="9">B5-F5-N5-I5-H5</f>
        <v>869983.57835927373</v>
      </c>
      <c r="P5" s="5">
        <f t="shared" si="2"/>
        <v>1259110.9396104943</v>
      </c>
      <c r="Q5" s="6">
        <f t="shared" ref="Q5:Q23" si="10">Q4+P5</f>
        <v>-7469254.4603895061</v>
      </c>
      <c r="R5" s="33">
        <f>R4*(1+Input!C$29)</f>
        <v>1.0666758399999998</v>
      </c>
      <c r="S5" s="5">
        <f>P5/R5</f>
        <v>1180406.3543901909</v>
      </c>
      <c r="T5" s="6">
        <f t="shared" ref="T5:T23" si="11">T4+S5</f>
        <v>-7588344.0329064783</v>
      </c>
      <c r="U5" s="39">
        <f>IRR($P$3:P5)</f>
        <v>-0.57592731262264463</v>
      </c>
      <c r="V5" s="86">
        <f t="shared" si="3"/>
        <v>1</v>
      </c>
      <c r="W5" s="83"/>
      <c r="X5" s="94">
        <f>X4*(1-Input!$C$18)</f>
        <v>14850</v>
      </c>
      <c r="Y5" s="81">
        <f t="shared" si="4"/>
        <v>2.5828282828282827</v>
      </c>
      <c r="Z5" s="93">
        <f t="shared" si="5"/>
        <v>28.786690993348188</v>
      </c>
    </row>
    <row r="6" spans="1:26" ht="13" x14ac:dyDescent="0.3">
      <c r="A6" s="29">
        <v>3</v>
      </c>
      <c r="B6" s="26">
        <f>B5*(1+(Input!C$27)/4)*(1-Input!C$18)</f>
        <v>1470150</v>
      </c>
      <c r="C6" s="5">
        <f>Input!C$24*B6</f>
        <v>7350.75</v>
      </c>
      <c r="D6" s="2">
        <f>Input!C$10*Input!C$23*(1-Input!C$21*A5)*(1+Input!C$27)</f>
        <v>9000</v>
      </c>
      <c r="E6" s="2">
        <f>E5*(1+Input!C$27)</f>
        <v>21430</v>
      </c>
      <c r="F6" s="6">
        <f t="shared" si="6"/>
        <v>37780.75</v>
      </c>
      <c r="G6" s="5">
        <f>IF(A6&lt;=Input!C$14,-PMT(Input!C$13,Input!C$14,J$3),0)</f>
        <v>389127.36125122063</v>
      </c>
      <c r="H6" s="2">
        <f t="shared" si="0"/>
        <v>300808.10664576996</v>
      </c>
      <c r="I6" s="2">
        <f>J5*Input!C$13</f>
        <v>88319.254605450682</v>
      </c>
      <c r="J6" s="6">
        <f t="shared" si="1"/>
        <v>4115154.6236267644</v>
      </c>
      <c r="K6" s="12">
        <f t="shared" si="7"/>
        <v>1432369.25</v>
      </c>
      <c r="L6" s="12">
        <f>Input!C$10*Input!C$21</f>
        <v>500000</v>
      </c>
      <c r="M6" s="3">
        <f t="shared" si="8"/>
        <v>844049.99539454933</v>
      </c>
      <c r="N6" s="4">
        <f>IF(M6&gt;0,M6*Input!C$20,0)</f>
        <v>185690.99898680084</v>
      </c>
      <c r="O6" s="5">
        <f t="shared" si="9"/>
        <v>857550.88976197853</v>
      </c>
      <c r="P6" s="5">
        <f t="shared" si="2"/>
        <v>1246678.2510131991</v>
      </c>
      <c r="Q6" s="6">
        <f t="shared" si="10"/>
        <v>-6222576.2093763072</v>
      </c>
      <c r="R6" s="33">
        <f>R5*(1+Input!C$29)</f>
        <v>1.1016628075519999</v>
      </c>
      <c r="S6" s="5">
        <f t="shared" ref="S6:S23" si="12">P6/R6</f>
        <v>1131633.238834156</v>
      </c>
      <c r="T6" s="6">
        <f t="shared" si="11"/>
        <v>-6456710.7940723225</v>
      </c>
      <c r="U6" s="39">
        <f>IRR($P$3:P6)</f>
        <v>-0.36516379951043554</v>
      </c>
      <c r="V6" s="86">
        <f t="shared" si="3"/>
        <v>1</v>
      </c>
      <c r="W6" s="83"/>
      <c r="X6" s="94">
        <f>X5*(1-Input!$C$18)</f>
        <v>14701.5</v>
      </c>
      <c r="Y6" s="81">
        <f t="shared" si="4"/>
        <v>2.5698568173315648</v>
      </c>
      <c r="Z6" s="93">
        <f t="shared" si="5"/>
        <v>29.038405009775918</v>
      </c>
    </row>
    <row r="7" spans="1:26" ht="13" x14ac:dyDescent="0.3">
      <c r="A7" s="29">
        <v>4</v>
      </c>
      <c r="B7" s="26">
        <f>B6*(1+(Input!C$27)/4)*(1-Input!C$18)</f>
        <v>1455448.5</v>
      </c>
      <c r="C7" s="5">
        <f>Input!C$24*B7</f>
        <v>7277.2425000000003</v>
      </c>
      <c r="D7" s="2">
        <f>Input!C$10*Input!C$23*(1-Input!C$21*A6)*(1+Input!C$27)</f>
        <v>8500</v>
      </c>
      <c r="E7" s="2">
        <f>E6*(1+Input!C$27)</f>
        <v>21430</v>
      </c>
      <c r="F7" s="6">
        <f t="shared" si="6"/>
        <v>37207.2425</v>
      </c>
      <c r="G7" s="5">
        <f>IF(A7&lt;=Input!C$14,-PMT(Input!C$13,Input!C$14,J$3),0)</f>
        <v>389127.36125122063</v>
      </c>
      <c r="H7" s="2">
        <f t="shared" si="0"/>
        <v>306824.26877868536</v>
      </c>
      <c r="I7" s="2">
        <f>J6*Input!C$13</f>
        <v>82303.092472535296</v>
      </c>
      <c r="J7" s="6">
        <f t="shared" si="1"/>
        <v>3808330.3548480789</v>
      </c>
      <c r="K7" s="12">
        <f t="shared" si="7"/>
        <v>1418241.2575000001</v>
      </c>
      <c r="L7" s="12">
        <f>Input!C$10*Input!C$21</f>
        <v>500000</v>
      </c>
      <c r="M7" s="3">
        <f t="shared" si="8"/>
        <v>835938.16502746474</v>
      </c>
      <c r="N7" s="4">
        <f>IF(M7&gt;0,M7*Input!C$20,0)</f>
        <v>183906.39630604224</v>
      </c>
      <c r="O7" s="5">
        <f t="shared" si="9"/>
        <v>845207.49994273705</v>
      </c>
      <c r="P7" s="5">
        <f t="shared" si="2"/>
        <v>1234334.8611939577</v>
      </c>
      <c r="Q7" s="6">
        <f t="shared" si="10"/>
        <v>-4988241.3481823495</v>
      </c>
      <c r="R7" s="33">
        <f>R6*(1+Input!C$29)</f>
        <v>1.1377973476397054</v>
      </c>
      <c r="S7" s="5">
        <f t="shared" si="12"/>
        <v>1084845.9646654245</v>
      </c>
      <c r="T7" s="6">
        <f t="shared" si="11"/>
        <v>-5371864.8294068985</v>
      </c>
      <c r="U7" s="39">
        <f>IRR($P$3:P7)</f>
        <v>-0.22952893715123168</v>
      </c>
      <c r="V7" s="86">
        <f t="shared" si="3"/>
        <v>1</v>
      </c>
      <c r="W7" s="83"/>
      <c r="X7" s="94">
        <f>X6*(1-Input!$C$18)</f>
        <v>14554.485000000001</v>
      </c>
      <c r="Y7" s="81">
        <f t="shared" si="4"/>
        <v>2.5564107902134632</v>
      </c>
      <c r="Z7" s="93">
        <f t="shared" si="5"/>
        <v>29.292318055308765</v>
      </c>
    </row>
    <row r="8" spans="1:26" ht="13" x14ac:dyDescent="0.3">
      <c r="A8" s="29">
        <v>5</v>
      </c>
      <c r="B8" s="26">
        <f>B7*(1+(Input!C$27)/4)*(1-Input!C$18)</f>
        <v>1440894.0149999999</v>
      </c>
      <c r="C8" s="5">
        <f>Input!C$24*B8</f>
        <v>7204.4700749999993</v>
      </c>
      <c r="D8" s="2">
        <f>Input!C$10*Input!C$23*(1-Input!C$21*A7)*(1+Input!C$27)</f>
        <v>8000</v>
      </c>
      <c r="E8" s="2">
        <f>E7*(1+Input!C$27)</f>
        <v>21430</v>
      </c>
      <c r="F8" s="6">
        <f t="shared" si="6"/>
        <v>36634.470074999997</v>
      </c>
      <c r="G8" s="5">
        <f>IF(A8&lt;=Input!C$14,-PMT(Input!C$13,Input!C$14,J$3),0)</f>
        <v>389127.36125122063</v>
      </c>
      <c r="H8" s="2">
        <f t="shared" si="0"/>
        <v>312960.75415425905</v>
      </c>
      <c r="I8" s="2">
        <f>J7*Input!C$13</f>
        <v>76166.607096961583</v>
      </c>
      <c r="J8" s="6">
        <f t="shared" si="1"/>
        <v>3495369.60069382</v>
      </c>
      <c r="K8" s="12">
        <f t="shared" si="7"/>
        <v>1404259.5449249998</v>
      </c>
      <c r="L8" s="12">
        <f>Input!C$10*Input!C$21</f>
        <v>500000</v>
      </c>
      <c r="M8" s="3">
        <f t="shared" si="8"/>
        <v>828092.93782803824</v>
      </c>
      <c r="N8" s="4">
        <f>IF(M8&gt;0,M8*Input!C$20,0)</f>
        <v>182180.44632216843</v>
      </c>
      <c r="O8" s="5">
        <f t="shared" si="9"/>
        <v>832951.73735161056</v>
      </c>
      <c r="P8" s="5">
        <f t="shared" si="2"/>
        <v>1222079.0986028311</v>
      </c>
      <c r="Q8" s="6">
        <f t="shared" si="10"/>
        <v>-3766162.2495795181</v>
      </c>
      <c r="R8" s="33">
        <f>R7*(1+Input!C$29)</f>
        <v>1.1751171006422876</v>
      </c>
      <c r="S8" s="5">
        <f t="shared" si="12"/>
        <v>1039963.6750540652</v>
      </c>
      <c r="T8" s="6">
        <f t="shared" si="11"/>
        <v>-4331901.1543528335</v>
      </c>
      <c r="U8" s="39">
        <f>IRR($P$3:P8)</f>
        <v>-0.14012044238068955</v>
      </c>
      <c r="V8" s="86">
        <f t="shared" si="3"/>
        <v>1</v>
      </c>
      <c r="W8" s="83"/>
      <c r="X8" s="94">
        <f>X7*(1-Input!$C$18)</f>
        <v>14408.94015</v>
      </c>
      <c r="Y8" s="81">
        <f t="shared" si="4"/>
        <v>2.542481937854395</v>
      </c>
      <c r="Z8" s="93">
        <f t="shared" si="5"/>
        <v>29.548448872294095</v>
      </c>
    </row>
    <row r="9" spans="1:26" ht="13" x14ac:dyDescent="0.3">
      <c r="A9" s="29">
        <v>6</v>
      </c>
      <c r="B9" s="26">
        <f>B8*(1+(Input!C$27)/4)*(1-Input!C$18)</f>
        <v>1426485.07485</v>
      </c>
      <c r="C9" s="5">
        <f>Input!C$24*B9</f>
        <v>7132.4253742500005</v>
      </c>
      <c r="D9" s="2">
        <f>Input!C$10*Input!C$23*(1-Input!C$21*A8)*(1+Input!C$27)</f>
        <v>7500</v>
      </c>
      <c r="E9" s="2">
        <f>E8*(1+Input!C$27)</f>
        <v>21430</v>
      </c>
      <c r="F9" s="6">
        <f t="shared" si="6"/>
        <v>36062.42537425</v>
      </c>
      <c r="G9" s="5">
        <f>IF(A9&lt;=Input!C$14,-PMT(Input!C$13,Input!C$14,J$3),0)</f>
        <v>389127.36125122063</v>
      </c>
      <c r="H9" s="2">
        <f t="shared" si="0"/>
        <v>319219.96923734422</v>
      </c>
      <c r="I9" s="2">
        <f>J8*Input!C$13</f>
        <v>69907.392013876408</v>
      </c>
      <c r="J9" s="6">
        <f t="shared" si="1"/>
        <v>3176149.6314564757</v>
      </c>
      <c r="K9" s="12">
        <f t="shared" si="7"/>
        <v>1390422.64947575</v>
      </c>
      <c r="L9" s="12">
        <f>Input!C$10*Input!C$21</f>
        <v>500000</v>
      </c>
      <c r="M9" s="3">
        <f t="shared" si="8"/>
        <v>820515.25746187358</v>
      </c>
      <c r="N9" s="4">
        <f>IF(M9&gt;0,M9*Input!C$20,0)</f>
        <v>180513.35664161219</v>
      </c>
      <c r="O9" s="5">
        <f t="shared" si="9"/>
        <v>820781.93158291711</v>
      </c>
      <c r="P9" s="5">
        <f t="shared" si="2"/>
        <v>1209909.2928341376</v>
      </c>
      <c r="Q9" s="6">
        <f t="shared" si="10"/>
        <v>-2556252.9567453805</v>
      </c>
      <c r="R9" s="33">
        <f>R8*(1+Input!C$29)</f>
        <v>1.2136609415433546</v>
      </c>
      <c r="S9" s="5">
        <f t="shared" si="12"/>
        <v>996908.81647353154</v>
      </c>
      <c r="T9" s="6">
        <f t="shared" si="11"/>
        <v>-3334992.337879302</v>
      </c>
      <c r="U9" s="39">
        <f>IRR($P$3:P9)</f>
        <v>-7.8925998836730238E-2</v>
      </c>
      <c r="V9" s="86">
        <f t="shared" si="3"/>
        <v>1</v>
      </c>
      <c r="W9" s="83"/>
      <c r="X9" s="94">
        <f>X8*(1-Input!$C$18)</f>
        <v>14264.850748500001</v>
      </c>
      <c r="Y9" s="81">
        <f t="shared" si="4"/>
        <v>2.5280618781126813</v>
      </c>
      <c r="Z9" s="93">
        <f t="shared" si="5"/>
        <v>29.806816357344701</v>
      </c>
    </row>
    <row r="10" spans="1:26" ht="13" x14ac:dyDescent="0.3">
      <c r="A10" s="29">
        <v>7</v>
      </c>
      <c r="B10" s="26">
        <f>B9*(1+(Input!C$27)/4)*(1-Input!C$18)</f>
        <v>1412220.2241014999</v>
      </c>
      <c r="C10" s="5">
        <f>Input!C$24*B10</f>
        <v>7061.1011205074992</v>
      </c>
      <c r="D10" s="2">
        <f>Input!C$10*Input!C$23*(1-Input!C$21*A9)*(1+Input!C$27)</f>
        <v>7000</v>
      </c>
      <c r="E10" s="2">
        <f>E9*(1+Input!C$27)</f>
        <v>21430</v>
      </c>
      <c r="F10" s="6">
        <f t="shared" si="6"/>
        <v>35491.101120507497</v>
      </c>
      <c r="G10" s="5">
        <f>IF(A10&lt;=Input!C$14,-PMT(Input!C$13,Input!C$14,J$3),0)</f>
        <v>389127.36125122063</v>
      </c>
      <c r="H10" s="2">
        <f t="shared" si="0"/>
        <v>325604.36862209113</v>
      </c>
      <c r="I10" s="2">
        <f>J9*Input!C$13</f>
        <v>63522.992629129512</v>
      </c>
      <c r="J10" s="6">
        <f t="shared" si="1"/>
        <v>2850545.2628343846</v>
      </c>
      <c r="K10" s="12">
        <f t="shared" si="7"/>
        <v>1376729.1229809923</v>
      </c>
      <c r="L10" s="12">
        <f>Input!C$10*Input!C$21</f>
        <v>500000</v>
      </c>
      <c r="M10" s="3">
        <f t="shared" si="8"/>
        <v>813206.13035186275</v>
      </c>
      <c r="N10" s="4">
        <f>IF(M10&gt;0,M10*Input!C$20,0)</f>
        <v>178905.34867740981</v>
      </c>
      <c r="O10" s="5">
        <f t="shared" si="9"/>
        <v>808696.41305236192</v>
      </c>
      <c r="P10" s="5">
        <f t="shared" si="2"/>
        <v>1197823.7743035825</v>
      </c>
      <c r="Q10" s="6">
        <f t="shared" si="10"/>
        <v>-1358429.182441798</v>
      </c>
      <c r="R10" s="33">
        <f>R9*(1+Input!C$29)</f>
        <v>1.2534690204259766</v>
      </c>
      <c r="S10" s="5">
        <f t="shared" si="12"/>
        <v>955607.00327202037</v>
      </c>
      <c r="T10" s="6">
        <f t="shared" si="11"/>
        <v>-2379385.3346072817</v>
      </c>
      <c r="U10" s="39">
        <f>IRR($P$3:P10)</f>
        <v>-3.5558092537409047E-2</v>
      </c>
      <c r="V10" s="86">
        <f t="shared" si="3"/>
        <v>1</v>
      </c>
      <c r="W10" s="83"/>
      <c r="X10" s="94">
        <f>X9*(1-Input!$C$18)</f>
        <v>14122.202241015</v>
      </c>
      <c r="Y10" s="81">
        <f t="shared" si="4"/>
        <v>2.5131421087733026</v>
      </c>
      <c r="Z10" s="93">
        <f t="shared" si="5"/>
        <v>30.067439562543019</v>
      </c>
    </row>
    <row r="11" spans="1:26" ht="13" x14ac:dyDescent="0.3">
      <c r="A11" s="29">
        <v>8</v>
      </c>
      <c r="B11" s="26">
        <f>B10*(1+(Input!C$27)/4)*(1-Input!C$18)</f>
        <v>1398098.021860485</v>
      </c>
      <c r="C11" s="5">
        <f>Input!C$24*B11</f>
        <v>6990.4901093024246</v>
      </c>
      <c r="D11" s="2">
        <f>Input!C$10*Input!C$23*(1-Input!C$21*A10)*(1+Input!C$27)</f>
        <v>6499.9999999999991</v>
      </c>
      <c r="E11" s="2">
        <f>E10*(1+Input!C$27)</f>
        <v>21430</v>
      </c>
      <c r="F11" s="6">
        <f t="shared" si="6"/>
        <v>34920.490109302424</v>
      </c>
      <c r="G11" s="5">
        <f>IF(A11&lt;=Input!C$14,-PMT(Input!C$13,Input!C$14,J$3),0)</f>
        <v>389127.36125122063</v>
      </c>
      <c r="H11" s="2">
        <f t="shared" si="0"/>
        <v>332116.45599453291</v>
      </c>
      <c r="I11" s="2">
        <f>J10*Input!C$13</f>
        <v>57010.905256687693</v>
      </c>
      <c r="J11" s="6">
        <f t="shared" si="1"/>
        <v>2518428.8068398517</v>
      </c>
      <c r="K11" s="12">
        <f t="shared" si="7"/>
        <v>1363177.5317511826</v>
      </c>
      <c r="L11" s="12">
        <f>Input!C$10*Input!C$21</f>
        <v>500000</v>
      </c>
      <c r="M11" s="3">
        <f t="shared" si="8"/>
        <v>806166.62649449497</v>
      </c>
      <c r="N11" s="4">
        <f>IF(M11&gt;0,M11*Input!C$20,0)</f>
        <v>177356.65782878888</v>
      </c>
      <c r="O11" s="5">
        <f t="shared" si="9"/>
        <v>796693.51267117308</v>
      </c>
      <c r="P11" s="5">
        <f t="shared" si="2"/>
        <v>1185820.8739223937</v>
      </c>
      <c r="Q11" s="6">
        <f t="shared" si="10"/>
        <v>-172608.30851940438</v>
      </c>
      <c r="R11" s="33">
        <f>R10*(1+Input!C$29)</f>
        <v>1.2945828042959486</v>
      </c>
      <c r="S11" s="5">
        <f t="shared" si="12"/>
        <v>915986.88781232154</v>
      </c>
      <c r="T11" s="6">
        <f t="shared" si="11"/>
        <v>-1463398.4467949602</v>
      </c>
      <c r="U11" s="39">
        <f>IRR($P$3:P11)</f>
        <v>-3.8981875931445309E-3</v>
      </c>
      <c r="V11" s="86">
        <f t="shared" si="3"/>
        <v>1</v>
      </c>
      <c r="W11" s="83"/>
      <c r="X11" s="94">
        <f>X10*(1-Input!$C$18)</f>
        <v>13980.980218604851</v>
      </c>
      <c r="Y11" s="81">
        <f t="shared" si="4"/>
        <v>2.4977140059774081</v>
      </c>
      <c r="Z11" s="93">
        <f t="shared" si="5"/>
        <v>30.330337696653888</v>
      </c>
    </row>
    <row r="12" spans="1:26" ht="13" x14ac:dyDescent="0.3">
      <c r="A12" s="29">
        <v>9</v>
      </c>
      <c r="B12" s="26">
        <f>B11*(1+(Input!C$27)/4)*(1-Input!C$18)</f>
        <v>1384117.0416418801</v>
      </c>
      <c r="C12" s="5">
        <f>Input!C$24*B12</f>
        <v>6920.5852082094007</v>
      </c>
      <c r="D12" s="2">
        <f>Input!C$10*Input!C$23*(1-Input!C$21*A11)*(1+Input!C$27)</f>
        <v>6000</v>
      </c>
      <c r="E12" s="2">
        <f>E11*(1+Input!C$27)</f>
        <v>21430</v>
      </c>
      <c r="F12" s="6">
        <f t="shared" si="6"/>
        <v>34350.585208209399</v>
      </c>
      <c r="G12" s="5">
        <f>IF(A12&lt;=Input!C$14,-PMT(Input!C$13,Input!C$14,J$3),0)</f>
        <v>389127.36125122063</v>
      </c>
      <c r="H12" s="2">
        <f t="shared" si="0"/>
        <v>338758.7851144236</v>
      </c>
      <c r="I12" s="2">
        <f>J11*Input!C$13</f>
        <v>50368.576136797034</v>
      </c>
      <c r="J12" s="6">
        <f t="shared" si="1"/>
        <v>2179670.0217254283</v>
      </c>
      <c r="K12" s="12">
        <f t="shared" si="7"/>
        <v>1349766.4564336706</v>
      </c>
      <c r="L12" s="12">
        <f>Input!C$10*Input!C$21</f>
        <v>500000</v>
      </c>
      <c r="M12" s="3">
        <f t="shared" si="8"/>
        <v>799397.88029687351</v>
      </c>
      <c r="N12" s="4">
        <f>IF(M12&gt;0,M12*Input!C$20,0)</f>
        <v>175867.53366531216</v>
      </c>
      <c r="O12" s="5">
        <f t="shared" si="9"/>
        <v>784771.5615171378</v>
      </c>
      <c r="P12" s="5">
        <f t="shared" si="2"/>
        <v>1173898.9227683586</v>
      </c>
      <c r="Q12" s="6">
        <f t="shared" si="10"/>
        <v>1001290.6142489542</v>
      </c>
      <c r="R12" s="33">
        <f>R11*(1+Input!C$29)</f>
        <v>1.3370451202768556</v>
      </c>
      <c r="S12" s="5">
        <f t="shared" si="12"/>
        <v>877980.03595068271</v>
      </c>
      <c r="T12" s="6">
        <f t="shared" si="11"/>
        <v>-585418.41084427747</v>
      </c>
      <c r="U12" s="39">
        <f>IRR($P$3:P12)</f>
        <v>1.9795935595552372E-2</v>
      </c>
      <c r="V12" s="86">
        <f t="shared" si="3"/>
        <v>1</v>
      </c>
      <c r="W12" s="83"/>
      <c r="X12" s="94">
        <f>X11*(1-Input!$C$18)</f>
        <v>13841.170416418803</v>
      </c>
      <c r="Y12" s="81">
        <f t="shared" si="4"/>
        <v>2.4817688226323495</v>
      </c>
      <c r="Z12" s="93">
        <f t="shared" si="5"/>
        <v>30.595530126345967</v>
      </c>
    </row>
    <row r="13" spans="1:26" ht="13" x14ac:dyDescent="0.3">
      <c r="A13" s="29">
        <v>10</v>
      </c>
      <c r="B13" s="26">
        <f>B12*(1+(Input!C$27)/4)*(1-Input!C$18)</f>
        <v>1370275.8712254611</v>
      </c>
      <c r="C13" s="5">
        <f>Input!C$24*B13</f>
        <v>6851.379356127306</v>
      </c>
      <c r="D13" s="2">
        <f>Input!C$10*Input!C$23*(1-Input!C$21*A12)*(1+Input!C$27)</f>
        <v>5500</v>
      </c>
      <c r="E13" s="2">
        <f>E12*(1+Input!C$27)</f>
        <v>21430</v>
      </c>
      <c r="F13" s="6">
        <f t="shared" si="6"/>
        <v>33781.379356127305</v>
      </c>
      <c r="G13" s="5">
        <f>IF(A13&lt;=Input!C$14,-PMT(Input!C$13,Input!C$14,J$3),0)</f>
        <v>389127.36125122063</v>
      </c>
      <c r="H13" s="2">
        <f t="shared" si="0"/>
        <v>345533.96081671206</v>
      </c>
      <c r="I13" s="2">
        <f>J12*Input!C$13</f>
        <v>43593.400434508563</v>
      </c>
      <c r="J13" s="6">
        <f t="shared" si="1"/>
        <v>1834136.0609087162</v>
      </c>
      <c r="K13" s="12">
        <f t="shared" si="7"/>
        <v>1336494.4918693339</v>
      </c>
      <c r="L13" s="12">
        <f>Input!C$10*Input!C$21</f>
        <v>500000</v>
      </c>
      <c r="M13" s="3">
        <f t="shared" si="8"/>
        <v>792901.09143482533</v>
      </c>
      <c r="N13" s="4">
        <f>IF(M13&gt;0,M13*Input!C$20,0)</f>
        <v>174438.24011566158</v>
      </c>
      <c r="O13" s="5">
        <f t="shared" si="9"/>
        <v>772928.89050245169</v>
      </c>
      <c r="P13" s="5">
        <f t="shared" si="2"/>
        <v>1162056.2517536723</v>
      </c>
      <c r="Q13" s="6">
        <f t="shared" si="10"/>
        <v>2163346.8660026267</v>
      </c>
      <c r="R13" s="33">
        <f>R12*(1+Input!C$29)</f>
        <v>1.3809002002219364</v>
      </c>
      <c r="S13" s="5">
        <f t="shared" si="12"/>
        <v>841520.80763469229</v>
      </c>
      <c r="T13" s="6">
        <f t="shared" si="11"/>
        <v>256102.39679041482</v>
      </c>
      <c r="U13" s="39">
        <f>IRR($P$3:P13)</f>
        <v>3.7901550915677262E-2</v>
      </c>
      <c r="V13" s="86">
        <f t="shared" si="3"/>
        <v>0</v>
      </c>
      <c r="W13" s="83"/>
      <c r="X13" s="94">
        <f>X12*(1-Input!$C$18)</f>
        <v>13702.758712254616</v>
      </c>
      <c r="Y13" s="81">
        <f t="shared" si="4"/>
        <v>2.4652976868020038</v>
      </c>
      <c r="Z13" s="93">
        <f t="shared" si="5"/>
        <v>30.863036377421817</v>
      </c>
    </row>
    <row r="14" spans="1:26" ht="13" x14ac:dyDescent="0.3">
      <c r="A14" s="29">
        <v>11</v>
      </c>
      <c r="B14" s="26">
        <f>B13*(1+(Input!C$27)/4)*(1-Input!C$18)</f>
        <v>1356573.1125132064</v>
      </c>
      <c r="C14" s="5">
        <f>Input!C$24*B14</f>
        <v>6782.8655625660322</v>
      </c>
      <c r="D14" s="2">
        <f>Input!C$10*Input!C$23*(1-Input!C$21*A13)*(1+Input!C$27)</f>
        <v>5000</v>
      </c>
      <c r="E14" s="2">
        <f>E13*(1+Input!C$27)</f>
        <v>21430</v>
      </c>
      <c r="F14" s="6">
        <f t="shared" si="6"/>
        <v>33212.865562566032</v>
      </c>
      <c r="G14" s="5">
        <f>IF(A14&lt;=Input!C$14,-PMT(Input!C$13,Input!C$14,J$3),0)</f>
        <v>389127.36125122063</v>
      </c>
      <c r="H14" s="2">
        <f t="shared" si="0"/>
        <v>352444.64003304631</v>
      </c>
      <c r="I14" s="2">
        <f>J13*Input!C$13</f>
        <v>36682.721218174323</v>
      </c>
      <c r="J14" s="6">
        <f t="shared" si="1"/>
        <v>1481691.4208756699</v>
      </c>
      <c r="K14" s="12">
        <f t="shared" si="7"/>
        <v>1323360.2469506403</v>
      </c>
      <c r="L14" s="12">
        <f>Input!C$10*Input!C$21</f>
        <v>500000</v>
      </c>
      <c r="M14" s="3">
        <f t="shared" si="8"/>
        <v>786677.52573246602</v>
      </c>
      <c r="N14" s="4">
        <f>IF(M14&gt;0,M14*Input!C$20,0)</f>
        <v>173069.05566114251</v>
      </c>
      <c r="O14" s="5">
        <f t="shared" si="9"/>
        <v>761163.8300382772</v>
      </c>
      <c r="P14" s="5">
        <f t="shared" si="2"/>
        <v>1150291.1912894978</v>
      </c>
      <c r="Q14" s="6">
        <f t="shared" si="10"/>
        <v>3313638.0572921243</v>
      </c>
      <c r="R14" s="33">
        <f>R13*(1+Input!C$29)</f>
        <v>1.4261937267892157</v>
      </c>
      <c r="S14" s="5">
        <f t="shared" si="12"/>
        <v>806546.24240925792</v>
      </c>
      <c r="T14" s="6">
        <f t="shared" si="11"/>
        <v>1062648.6391996727</v>
      </c>
      <c r="U14" s="39">
        <f>IRR($P$3:P14)</f>
        <v>5.1981782535948318E-2</v>
      </c>
      <c r="V14" s="86">
        <f t="shared" si="3"/>
        <v>0</v>
      </c>
      <c r="W14" s="83"/>
      <c r="X14" s="94">
        <f>X13*(1-Input!$C$18)</f>
        <v>13565.73112513207</v>
      </c>
      <c r="Y14" s="81">
        <f t="shared" si="4"/>
        <v>2.4482916000771531</v>
      </c>
      <c r="Z14" s="93">
        <f t="shared" si="5"/>
        <v>31.132876136056762</v>
      </c>
    </row>
    <row r="15" spans="1:26" ht="13" x14ac:dyDescent="0.3">
      <c r="A15" s="29">
        <v>12</v>
      </c>
      <c r="B15" s="26">
        <f>B14*(1+(Input!C$27)/4)*(1-Input!C$18)</f>
        <v>1343007.3813880743</v>
      </c>
      <c r="C15" s="5">
        <f>Input!C$24*B15</f>
        <v>6715.0369069403714</v>
      </c>
      <c r="D15" s="2">
        <f>Input!C$10*Input!C$23*(1-Input!C$21*A14)*(1+Input!C$27)</f>
        <v>4500</v>
      </c>
      <c r="E15" s="2">
        <f>E14*(1+Input!C$27)</f>
        <v>21430</v>
      </c>
      <c r="F15" s="6">
        <f t="shared" si="6"/>
        <v>32645.036906940371</v>
      </c>
      <c r="G15" s="5">
        <f>IF(A15&lt;=Input!C$14,-PMT(Input!C$13,Input!C$14,J$3),0)</f>
        <v>389127.36125122063</v>
      </c>
      <c r="H15" s="2">
        <f t="shared" si="0"/>
        <v>359493.53283370723</v>
      </c>
      <c r="I15" s="2">
        <f>J14*Input!C$13</f>
        <v>29633.828417513399</v>
      </c>
      <c r="J15" s="6">
        <f t="shared" si="1"/>
        <v>1122197.8880419626</v>
      </c>
      <c r="K15" s="12">
        <f t="shared" si="7"/>
        <v>1310362.3444811339</v>
      </c>
      <c r="L15" s="12">
        <f>Input!C$10*Input!C$21</f>
        <v>500000</v>
      </c>
      <c r="M15" s="3">
        <f t="shared" si="8"/>
        <v>780728.51606362045</v>
      </c>
      <c r="N15" s="4">
        <f>IF(M15&gt;0,M15*Input!C$20,0)</f>
        <v>171760.27353399651</v>
      </c>
      <c r="O15" s="5">
        <f t="shared" si="9"/>
        <v>749474.70969591686</v>
      </c>
      <c r="P15" s="5">
        <f t="shared" si="2"/>
        <v>1138602.0709471374</v>
      </c>
      <c r="Q15" s="6">
        <f t="shared" si="10"/>
        <v>4452240.1282392619</v>
      </c>
      <c r="R15" s="33">
        <f>R14*(1+Input!C$29)</f>
        <v>1.4729728810279019</v>
      </c>
      <c r="S15" s="5">
        <f t="shared" si="12"/>
        <v>772995.94962846395</v>
      </c>
      <c r="T15" s="6">
        <f t="shared" si="11"/>
        <v>1835644.5888281367</v>
      </c>
      <c r="U15" s="39">
        <f>IRR($P$3:P15)</f>
        <v>6.3096151047318916E-2</v>
      </c>
      <c r="V15" s="86">
        <f t="shared" si="3"/>
        <v>0</v>
      </c>
      <c r="W15" s="83"/>
      <c r="X15" s="94">
        <f>X14*(1-Input!$C$18)</f>
        <v>13430.073813880748</v>
      </c>
      <c r="Y15" s="81">
        <f t="shared" si="4"/>
        <v>2.4307414359256807</v>
      </c>
      <c r="Z15" s="93">
        <f t="shared" si="5"/>
        <v>31.405069250046502</v>
      </c>
    </row>
    <row r="16" spans="1:26" ht="13" x14ac:dyDescent="0.3">
      <c r="A16" s="29">
        <v>13</v>
      </c>
      <c r="B16" s="26">
        <f>B15*(1+(Input!C$27)/4)*(1-Input!C$18)</f>
        <v>1329577.3075741935</v>
      </c>
      <c r="C16" s="5">
        <f>Input!C$24*B16</f>
        <v>6647.886537870967</v>
      </c>
      <c r="D16" s="2">
        <f>Input!C$10*Input!C$23*(1-Input!C$21*A15)*(1+Input!C$27)</f>
        <v>3999.9999999999991</v>
      </c>
      <c r="E16" s="2">
        <f>E15*(1+Input!C$27)</f>
        <v>21430</v>
      </c>
      <c r="F16" s="6">
        <f t="shared" si="6"/>
        <v>32077.886537870967</v>
      </c>
      <c r="G16" s="5">
        <f>IF(A16&lt;=Input!C$14,-PMT(Input!C$13,Input!C$14,J$3),0)</f>
        <v>389127.36125122063</v>
      </c>
      <c r="H16" s="2">
        <f t="shared" si="0"/>
        <v>366683.40349038137</v>
      </c>
      <c r="I16" s="2">
        <f>J15*Input!C$13</f>
        <v>22443.957760839254</v>
      </c>
      <c r="J16" s="6">
        <f t="shared" si="1"/>
        <v>755514.48455158132</v>
      </c>
      <c r="K16" s="12">
        <f t="shared" si="7"/>
        <v>1297499.4210363226</v>
      </c>
      <c r="L16" s="12">
        <f>Input!C$10*Input!C$21</f>
        <v>500000</v>
      </c>
      <c r="M16" s="3">
        <f t="shared" si="8"/>
        <v>775055.46327548334</v>
      </c>
      <c r="N16" s="4">
        <f>IF(M16&gt;0,M16*Input!C$20,0)</f>
        <v>170512.20192060634</v>
      </c>
      <c r="O16" s="5">
        <f t="shared" si="9"/>
        <v>737859.8578644956</v>
      </c>
      <c r="P16" s="5">
        <f t="shared" si="2"/>
        <v>1126987.2191157162</v>
      </c>
      <c r="Q16" s="6">
        <f t="shared" si="10"/>
        <v>5579227.3473549783</v>
      </c>
      <c r="R16" s="33">
        <f>R15*(1+Input!C$29)</f>
        <v>1.521286391525617</v>
      </c>
      <c r="S16" s="5">
        <f t="shared" si="12"/>
        <v>740812.00317944132</v>
      </c>
      <c r="T16" s="6">
        <f t="shared" si="11"/>
        <v>2576456.5920075779</v>
      </c>
      <c r="U16" s="39">
        <f>IRR($P$3:P16)</f>
        <v>7.1982190548500524E-2</v>
      </c>
      <c r="V16" s="86">
        <f t="shared" si="3"/>
        <v>0</v>
      </c>
      <c r="W16" s="83"/>
      <c r="X16" s="94">
        <f>X15*(1-Input!$C$18)</f>
        <v>13295.773075741941</v>
      </c>
      <c r="Y16" s="81">
        <f t="shared" si="4"/>
        <v>2.4126379380223386</v>
      </c>
      <c r="Z16" s="93">
        <f t="shared" si="5"/>
        <v>31.67963573006357</v>
      </c>
    </row>
    <row r="17" spans="1:26" ht="13" x14ac:dyDescent="0.3">
      <c r="A17" s="29">
        <v>14</v>
      </c>
      <c r="B17" s="26">
        <f>B16*(1+(Input!C$27)/4)*(1-Input!C$18)</f>
        <v>1316281.5344984515</v>
      </c>
      <c r="C17" s="5">
        <f>Input!C$24*B17</f>
        <v>6581.4076724922579</v>
      </c>
      <c r="D17" s="2">
        <f>Input!C$10*Input!C$23*(1-Input!C$21*A16)*(1+Input!C$27)</f>
        <v>3500</v>
      </c>
      <c r="E17" s="2">
        <f>E16*(1+Input!C$27)</f>
        <v>21430</v>
      </c>
      <c r="F17" s="6">
        <f t="shared" si="6"/>
        <v>31511.407672492256</v>
      </c>
      <c r="G17" s="5">
        <f>IF(A17&lt;=Input!C$14,-PMT(Input!C$13,Input!C$14,J$3),0)</f>
        <v>389127.36125122063</v>
      </c>
      <c r="H17" s="2">
        <f t="shared" si="0"/>
        <v>374017.07156018901</v>
      </c>
      <c r="I17" s="2">
        <f>J16*Input!C$13</f>
        <v>15110.289691031627</v>
      </c>
      <c r="J17" s="6">
        <f t="shared" si="1"/>
        <v>381497.41299139231</v>
      </c>
      <c r="K17" s="12">
        <f t="shared" si="7"/>
        <v>1284770.1268259592</v>
      </c>
      <c r="L17" s="12">
        <f>Input!C$10*Input!C$21</f>
        <v>500000</v>
      </c>
      <c r="M17" s="3">
        <f t="shared" si="8"/>
        <v>769659.83713492751</v>
      </c>
      <c r="N17" s="4">
        <f>IF(M17&gt;0,M17*Input!C$20,0)</f>
        <v>169325.16416968405</v>
      </c>
      <c r="O17" s="5">
        <f t="shared" si="9"/>
        <v>726317.60140505445</v>
      </c>
      <c r="P17" s="5">
        <f t="shared" si="2"/>
        <v>1115444.9626562751</v>
      </c>
      <c r="Q17" s="6">
        <f t="shared" si="10"/>
        <v>6694672.3100112537</v>
      </c>
      <c r="R17" s="33">
        <f>R16*(1+Input!C$29)</f>
        <v>1.5711845851676571</v>
      </c>
      <c r="S17" s="5">
        <f t="shared" si="12"/>
        <v>709938.84053238016</v>
      </c>
      <c r="T17" s="6">
        <f t="shared" si="11"/>
        <v>3286395.432539958</v>
      </c>
      <c r="U17" s="39">
        <f>IRR($P$3:P17)</f>
        <v>7.9165402712099597E-2</v>
      </c>
      <c r="V17" s="86">
        <f t="shared" si="3"/>
        <v>0</v>
      </c>
      <c r="W17" s="83"/>
      <c r="X17" s="94">
        <f>X16*(1-Input!$C$18)</f>
        <v>13162.815344984521</v>
      </c>
      <c r="Y17" s="81">
        <f t="shared" si="4"/>
        <v>2.3939717185578515</v>
      </c>
      <c r="Z17" s="93">
        <f t="shared" si="5"/>
        <v>31.95659575092273</v>
      </c>
    </row>
    <row r="18" spans="1:26" ht="13" x14ac:dyDescent="0.3">
      <c r="A18" s="29">
        <v>15</v>
      </c>
      <c r="B18" s="26">
        <f>B17*(1+(Input!C$27)/4)*(1-Input!C$18)</f>
        <v>1303118.7191534671</v>
      </c>
      <c r="C18" s="5">
        <f>Input!C$24*B18</f>
        <v>6515.5935957673355</v>
      </c>
      <c r="D18" s="2">
        <f>Input!C$10*Input!C$23*(1-Input!C$21*A17)*(1+Input!C$27)</f>
        <v>2999.9999999999995</v>
      </c>
      <c r="E18" s="2">
        <f>E17*(1+Input!C$27)</f>
        <v>21430</v>
      </c>
      <c r="F18" s="6">
        <f t="shared" si="6"/>
        <v>30945.593595767336</v>
      </c>
      <c r="G18" s="5">
        <f>IF(A18&lt;=Input!C$14,-PMT(Input!C$13,Input!C$14,J$3),0)</f>
        <v>389127.36125122063</v>
      </c>
      <c r="H18" s="2">
        <f t="shared" si="0"/>
        <v>381497.41299139278</v>
      </c>
      <c r="I18" s="2">
        <f>J17*Input!C$13</f>
        <v>7629.9482598278464</v>
      </c>
      <c r="J18" s="6">
        <f t="shared" si="1"/>
        <v>-4.6566128730773926E-10</v>
      </c>
      <c r="K18" s="12">
        <f t="shared" si="7"/>
        <v>1272173.1255576997</v>
      </c>
      <c r="L18" s="12">
        <f>Input!C$10*Input!C$21</f>
        <v>500000</v>
      </c>
      <c r="M18" s="3">
        <f t="shared" si="8"/>
        <v>764543.17729787191</v>
      </c>
      <c r="N18" s="4">
        <f>IF(M18&gt;0,M18*Input!C$20,0)</f>
        <v>168199.49900553183</v>
      </c>
      <c r="O18" s="5">
        <f t="shared" si="9"/>
        <v>714846.26530094713</v>
      </c>
      <c r="P18" s="5">
        <f t="shared" si="2"/>
        <v>1103973.6265521678</v>
      </c>
      <c r="Q18" s="6">
        <f t="shared" si="10"/>
        <v>7798645.936563421</v>
      </c>
      <c r="R18" s="33">
        <f>R17*(1+Input!C$29)</f>
        <v>1.6227194395611562</v>
      </c>
      <c r="S18" s="5">
        <f t="shared" si="12"/>
        <v>680323.16593848378</v>
      </c>
      <c r="T18" s="6">
        <f t="shared" si="11"/>
        <v>3966718.5984784421</v>
      </c>
      <c r="U18" s="39">
        <f>IRR($P$3:P18)</f>
        <v>8.5027957733480264E-2</v>
      </c>
      <c r="V18" s="86">
        <f t="shared" si="3"/>
        <v>0</v>
      </c>
      <c r="W18" s="83"/>
      <c r="X18" s="94">
        <f>X17*(1-Input!$C$18)</f>
        <v>13031.187191534676</v>
      </c>
      <c r="Y18" s="81">
        <f t="shared" si="4"/>
        <v>2.3747332565270969</v>
      </c>
      <c r="Z18" s="93">
        <f t="shared" si="5"/>
        <v>32.235969652855253</v>
      </c>
    </row>
    <row r="19" spans="1:26" ht="13" x14ac:dyDescent="0.3">
      <c r="A19" s="29">
        <v>16</v>
      </c>
      <c r="B19" s="26">
        <f>B18*(1+(Input!C$27)/4)*(1-Input!C$18)</f>
        <v>1290087.5319619323</v>
      </c>
      <c r="C19" s="5">
        <f>Input!C$24*B19</f>
        <v>6450.4376598096615</v>
      </c>
      <c r="D19" s="2">
        <f>Input!C$10*Input!C$23*(1-Input!C$21*A18)*(1+Input!C$27)</f>
        <v>2500</v>
      </c>
      <c r="E19" s="2">
        <f>E18*(1+Input!C$27)</f>
        <v>21430</v>
      </c>
      <c r="F19" s="6">
        <f t="shared" si="6"/>
        <v>30380.437659809661</v>
      </c>
      <c r="G19" s="5">
        <f>IF(A19&lt;=Input!C$14,-PMT(Input!C$13,Input!C$14,J$3),0)</f>
        <v>0</v>
      </c>
      <c r="H19" s="2">
        <f t="shared" si="0"/>
        <v>9.3132257461547854E-12</v>
      </c>
      <c r="I19" s="2">
        <f>J18*Input!C$13</f>
        <v>-9.3132257461547854E-12</v>
      </c>
      <c r="J19" s="6">
        <f t="shared" si="1"/>
        <v>-4.7497451305389405E-10</v>
      </c>
      <c r="K19" s="12">
        <f t="shared" si="7"/>
        <v>1259707.0943021227</v>
      </c>
      <c r="L19" s="12">
        <f>Input!C$10*Input!C$21</f>
        <v>500000</v>
      </c>
      <c r="M19" s="3">
        <f t="shared" si="8"/>
        <v>759707.09430212271</v>
      </c>
      <c r="N19" s="4">
        <f>IF(M19&gt;0,M19*Input!C$20,0)</f>
        <v>167135.560746467</v>
      </c>
      <c r="O19" s="5">
        <f t="shared" si="9"/>
        <v>1092571.5335556557</v>
      </c>
      <c r="P19" s="5">
        <f t="shared" si="2"/>
        <v>1092571.5335556557</v>
      </c>
      <c r="Q19" s="6">
        <f t="shared" si="10"/>
        <v>8891217.4701190777</v>
      </c>
      <c r="R19" s="33">
        <f>R18*(1+Input!C$29)</f>
        <v>1.6759446371787621</v>
      </c>
      <c r="S19" s="5">
        <f t="shared" si="12"/>
        <v>651913.85760502203</v>
      </c>
      <c r="T19" s="6">
        <f t="shared" si="11"/>
        <v>4618632.4560834644</v>
      </c>
      <c r="U19" s="39">
        <f>IRR($P$3:P19)</f>
        <v>8.9852855757594607E-2</v>
      </c>
      <c r="V19" s="86">
        <f t="shared" si="3"/>
        <v>0</v>
      </c>
      <c r="W19" s="83"/>
      <c r="X19" s="94">
        <f>X18*(1-Input!$C$18)</f>
        <v>12900.87531961933</v>
      </c>
      <c r="Y19" s="81">
        <f t="shared" si="4"/>
        <v>2.3549128959961227</v>
      </c>
      <c r="Z19" s="93">
        <f t="shared" si="5"/>
        <v>2.3549128959961227</v>
      </c>
    </row>
    <row r="20" spans="1:26" ht="13" x14ac:dyDescent="0.3">
      <c r="A20" s="29">
        <v>17</v>
      </c>
      <c r="B20" s="26">
        <f>B19*(1+(Input!C$27)/4)*(1-Input!C$18)</f>
        <v>1277186.6566423129</v>
      </c>
      <c r="C20" s="5">
        <f>Input!C$24*B20</f>
        <v>6385.9332832115642</v>
      </c>
      <c r="D20" s="2">
        <f>Input!C$10*Input!C$23*(1-Input!C$21*A19)*(1+Input!C$27)</f>
        <v>1999.9999999999995</v>
      </c>
      <c r="E20" s="2">
        <f>E19*(1+Input!C$27)</f>
        <v>21430</v>
      </c>
      <c r="F20" s="6">
        <f t="shared" si="6"/>
        <v>29815.933283211562</v>
      </c>
      <c r="G20" s="5">
        <f>IF(A20&lt;=Input!C$14,-PMT(Input!C$13,Input!C$14,J$3),0)</f>
        <v>0</v>
      </c>
      <c r="H20" s="2">
        <f t="shared" si="0"/>
        <v>9.4994902610778815E-12</v>
      </c>
      <c r="I20" s="2">
        <f>J19*Input!C$13</f>
        <v>-9.4994902610778815E-12</v>
      </c>
      <c r="J20" s="6">
        <f t="shared" si="1"/>
        <v>-4.8447400331497192E-10</v>
      </c>
      <c r="K20" s="12">
        <f t="shared" si="7"/>
        <v>1247370.7233591012</v>
      </c>
      <c r="L20" s="12">
        <f>Input!C$10*Input!C$21</f>
        <v>500000</v>
      </c>
      <c r="M20" s="3">
        <f t="shared" si="8"/>
        <v>747370.72335910122</v>
      </c>
      <c r="N20" s="4">
        <f>IF(M20&gt;0,M20*Input!C$20,0)</f>
        <v>164421.55913900226</v>
      </c>
      <c r="O20" s="5">
        <f t="shared" si="9"/>
        <v>1082949.1642200989</v>
      </c>
      <c r="P20" s="5">
        <f t="shared" si="2"/>
        <v>1082949.1642200989</v>
      </c>
      <c r="Q20" s="6">
        <f t="shared" si="10"/>
        <v>9974166.6343391761</v>
      </c>
      <c r="R20" s="33">
        <f>R19*(1+Input!C$29)</f>
        <v>1.7309156212782253</v>
      </c>
      <c r="S20" s="5">
        <f t="shared" si="12"/>
        <v>625651.04324402357</v>
      </c>
      <c r="T20" s="6">
        <f t="shared" si="11"/>
        <v>5244283.4993274882</v>
      </c>
      <c r="U20" s="39">
        <f>IRR($P$3:P20)</f>
        <v>9.3859117537234749E-2</v>
      </c>
      <c r="V20" s="86">
        <f t="shared" si="3"/>
        <v>0</v>
      </c>
      <c r="W20" s="83"/>
      <c r="X20" s="94">
        <f>X19*(1-Input!$C$18)</f>
        <v>12771.866566423138</v>
      </c>
      <c r="Y20" s="81">
        <f t="shared" si="4"/>
        <v>2.3345008443477457</v>
      </c>
      <c r="Z20" s="93">
        <f t="shared" si="5"/>
        <v>2.3345008443477457</v>
      </c>
    </row>
    <row r="21" spans="1:26" ht="13" x14ac:dyDescent="0.3">
      <c r="A21" s="29">
        <v>18</v>
      </c>
      <c r="B21" s="26">
        <f>B20*(1+(Input!C$27)/4)*(1-Input!C$18)</f>
        <v>1264414.7900758898</v>
      </c>
      <c r="C21" s="5">
        <f>Input!C$24*B21</f>
        <v>6322.0739503794493</v>
      </c>
      <c r="D21" s="2">
        <f>Input!C$10*Input!C$23*(1-Input!C$21*A20)*(1+Input!C$27)</f>
        <v>1499.9999999999991</v>
      </c>
      <c r="E21" s="2">
        <f>E20*(1+Input!C$27)</f>
        <v>21430</v>
      </c>
      <c r="F21" s="6">
        <f t="shared" si="6"/>
        <v>29252.073950379447</v>
      </c>
      <c r="G21" s="5">
        <f>IF(A21&lt;=Input!C$14,-PMT(Input!C$13,Input!C$14,J$3),0)</f>
        <v>0</v>
      </c>
      <c r="H21" s="2">
        <f t="shared" si="0"/>
        <v>9.6894800662994385E-12</v>
      </c>
      <c r="I21" s="2">
        <f>J20*Input!C$13</f>
        <v>-9.6894800662994385E-12</v>
      </c>
      <c r="J21" s="6">
        <f t="shared" si="1"/>
        <v>-4.9416348338127133E-10</v>
      </c>
      <c r="K21" s="12">
        <f t="shared" si="7"/>
        <v>1235162.7161255104</v>
      </c>
      <c r="L21" s="12">
        <f>Input!C$10*Input!C$21</f>
        <v>500000</v>
      </c>
      <c r="M21" s="3">
        <f t="shared" si="8"/>
        <v>735162.7161255104</v>
      </c>
      <c r="N21" s="4">
        <f>IF(M21&gt;0,M21*Input!C$20,0)</f>
        <v>161735.79754761228</v>
      </c>
      <c r="O21" s="5">
        <f t="shared" si="9"/>
        <v>1073426.9185778981</v>
      </c>
      <c r="P21" s="5">
        <f t="shared" si="2"/>
        <v>1073426.9185778981</v>
      </c>
      <c r="Q21" s="6">
        <f t="shared" si="10"/>
        <v>11047593.552917074</v>
      </c>
      <c r="R21" s="33">
        <f>R20*(1+Input!C$29)</f>
        <v>1.7876896536561511</v>
      </c>
      <c r="S21" s="5">
        <f t="shared" si="12"/>
        <v>600454.84761996823</v>
      </c>
      <c r="T21" s="6">
        <f t="shared" si="11"/>
        <v>5844738.3469474567</v>
      </c>
      <c r="U21" s="39">
        <f>IRR($P$3:P21)</f>
        <v>9.7207104130631272E-2</v>
      </c>
      <c r="V21" s="86">
        <f t="shared" si="3"/>
        <v>0</v>
      </c>
      <c r="W21" s="83"/>
      <c r="X21" s="94">
        <f>X20*(1-Input!$C$18)</f>
        <v>12644.147900758906</v>
      </c>
      <c r="Y21" s="81">
        <f t="shared" si="4"/>
        <v>2.3134871705054736</v>
      </c>
      <c r="Z21" s="93">
        <f t="shared" si="5"/>
        <v>2.3134871705054736</v>
      </c>
    </row>
    <row r="22" spans="1:26" ht="13" x14ac:dyDescent="0.3">
      <c r="A22" s="29">
        <v>19</v>
      </c>
      <c r="B22" s="26">
        <f>B21*(1+(Input!C$27)/4)*(1-Input!C$18)</f>
        <v>1251770.6421751308</v>
      </c>
      <c r="C22" s="5">
        <f>Input!C$24*B22</f>
        <v>6258.8532108756544</v>
      </c>
      <c r="D22" s="2">
        <f>Input!C$10*Input!C$23*(1-Input!C$21*A21)*(1+Input!C$27)</f>
        <v>999.99999999999977</v>
      </c>
      <c r="E22" s="2">
        <f>E21*(1+Input!C$27)</f>
        <v>21430</v>
      </c>
      <c r="F22" s="6">
        <f t="shared" si="6"/>
        <v>28688.853210875655</v>
      </c>
      <c r="G22" s="5">
        <f>IF(A22&lt;=Input!C$14,-PMT(Input!C$13,Input!C$14,J$3),0)</f>
        <v>0</v>
      </c>
      <c r="H22" s="2">
        <f t="shared" si="0"/>
        <v>9.8832696676254267E-12</v>
      </c>
      <c r="I22" s="2">
        <f>J21*Input!C$13</f>
        <v>-9.8832696676254267E-12</v>
      </c>
      <c r="J22" s="6">
        <f t="shared" si="1"/>
        <v>-5.0404675304889678E-10</v>
      </c>
      <c r="K22" s="12">
        <f t="shared" si="7"/>
        <v>1223081.788964255</v>
      </c>
      <c r="L22" s="12">
        <f>Input!C$10*Input!C$21</f>
        <v>500000</v>
      </c>
      <c r="M22" s="3">
        <f t="shared" si="8"/>
        <v>723081.78896425501</v>
      </c>
      <c r="N22" s="4">
        <f>IF(M22&gt;0,M22*Input!C$20,0)</f>
        <v>159077.9935721361</v>
      </c>
      <c r="O22" s="5">
        <f t="shared" si="9"/>
        <v>1064003.7953921189</v>
      </c>
      <c r="P22" s="5">
        <f t="shared" si="2"/>
        <v>1064003.7953921189</v>
      </c>
      <c r="Q22" s="6">
        <f t="shared" si="10"/>
        <v>12111597.348309193</v>
      </c>
      <c r="R22" s="33">
        <f>R21*(1+Input!C$29)</f>
        <v>1.8463258742960726</v>
      </c>
      <c r="S22" s="5">
        <f t="shared" si="12"/>
        <v>576281.69014193083</v>
      </c>
      <c r="T22" s="6">
        <f t="shared" si="11"/>
        <v>6421020.0370893879</v>
      </c>
      <c r="U22" s="39">
        <f>IRR($P$3:P22)</f>
        <v>0.1000210311036891</v>
      </c>
      <c r="V22" s="86">
        <f t="shared" si="3"/>
        <v>0</v>
      </c>
      <c r="W22" s="83"/>
      <c r="X22" s="94">
        <f>X21*(1-Input!$C$18)</f>
        <v>12517.706421751316</v>
      </c>
      <c r="Y22" s="81">
        <f t="shared" si="4"/>
        <v>2.2918618031354887</v>
      </c>
      <c r="Z22" s="93">
        <f t="shared" si="5"/>
        <v>2.2918618031354887</v>
      </c>
    </row>
    <row r="23" spans="1:26" ht="13" x14ac:dyDescent="0.3">
      <c r="A23" s="30">
        <v>20</v>
      </c>
      <c r="B23" s="26">
        <f>B22*(1+(Input!C$27)/4)*(1-Input!C$18)</f>
        <v>1239252.9357533795</v>
      </c>
      <c r="C23" s="5">
        <f>Input!C$24*B23</f>
        <v>6196.2646787668973</v>
      </c>
      <c r="D23" s="2">
        <f>Input!C$10*Input!C$23*(1-Input!C$21*A22)*(1+Input!C$27)</f>
        <v>499.99999999999932</v>
      </c>
      <c r="E23" s="2">
        <f>E22*(1+Input!C$27)</f>
        <v>21430</v>
      </c>
      <c r="F23" s="17">
        <f t="shared" si="6"/>
        <v>28126.264678766896</v>
      </c>
      <c r="G23" s="5">
        <f>IF(A23&lt;=Input!C$14,-PMT(Input!C$13,Input!C$14,J$3),0)</f>
        <v>0</v>
      </c>
      <c r="H23" s="16">
        <f t="shared" si="0"/>
        <v>1.0080935060977936E-11</v>
      </c>
      <c r="I23" s="2">
        <f>J22*Input!C$13</f>
        <v>-1.0080935060977936E-11</v>
      </c>
      <c r="J23" s="17">
        <f t="shared" si="1"/>
        <v>-5.1412768810987473E-10</v>
      </c>
      <c r="K23" s="12">
        <f t="shared" si="7"/>
        <v>1211126.6710746125</v>
      </c>
      <c r="L23" s="12">
        <f>Input!C$10*Input!C$21</f>
        <v>500000</v>
      </c>
      <c r="M23" s="3">
        <f t="shared" si="8"/>
        <v>711126.67107461253</v>
      </c>
      <c r="N23" s="4">
        <f>IF(M23&gt;0,M23*Input!C$20,0)</f>
        <v>156447.86763641477</v>
      </c>
      <c r="O23" s="5">
        <f t="shared" si="9"/>
        <v>1054678.8034381978</v>
      </c>
      <c r="P23" s="5">
        <f t="shared" si="2"/>
        <v>1054678.8034381978</v>
      </c>
      <c r="Q23" s="17">
        <f t="shared" si="10"/>
        <v>13166276.151747391</v>
      </c>
      <c r="R23" s="33">
        <f>R22*(1+Input!C$29)</f>
        <v>1.9068853629729836</v>
      </c>
      <c r="S23" s="15">
        <f t="shared" si="12"/>
        <v>553089.77871321584</v>
      </c>
      <c r="T23" s="17">
        <f t="shared" si="11"/>
        <v>6974109.815802604</v>
      </c>
      <c r="U23" s="39">
        <f>IRR($P$3:P23)</f>
        <v>0.10239819832585839</v>
      </c>
      <c r="V23" s="40">
        <f t="shared" si="3"/>
        <v>0</v>
      </c>
      <c r="W23" s="83"/>
      <c r="X23" s="94">
        <f>X22*(1-Input!$C$18)</f>
        <v>12392.529357533804</v>
      </c>
      <c r="Y23" s="81">
        <f t="shared" si="4"/>
        <v>2.2696145288264389</v>
      </c>
      <c r="Z23" s="93">
        <f t="shared" si="5"/>
        <v>2.2696145288264389</v>
      </c>
    </row>
    <row r="24" spans="1:26" ht="13.5" thickBot="1" x14ac:dyDescent="0.35">
      <c r="A24" s="31"/>
      <c r="B24" s="27"/>
      <c r="C24" s="22"/>
      <c r="D24" s="19"/>
      <c r="E24" s="19"/>
      <c r="F24" s="21"/>
      <c r="G24" s="22"/>
      <c r="H24" s="19"/>
      <c r="I24" s="19"/>
      <c r="J24" s="21"/>
      <c r="K24" s="58"/>
      <c r="L24" s="24"/>
      <c r="M24" s="19"/>
      <c r="N24" s="19"/>
      <c r="O24" s="22"/>
      <c r="P24" s="22"/>
      <c r="Q24" s="21"/>
      <c r="R24" s="34"/>
      <c r="S24" s="22"/>
      <c r="T24" s="21"/>
      <c r="U24" s="40"/>
      <c r="V24" s="40"/>
      <c r="W24" s="83"/>
      <c r="X24" s="95"/>
      <c r="Z24" s="45"/>
    </row>
    <row r="25" spans="1:26" ht="13.5" thickBot="1" x14ac:dyDescent="0.35">
      <c r="A25" s="32" t="s">
        <v>0</v>
      </c>
      <c r="B25" s="28">
        <f t="shared" ref="B25:O25" si="13">SUM(B3:B23)</f>
        <v>27313959.360415369</v>
      </c>
      <c r="C25" s="23">
        <f t="shared" si="13"/>
        <v>136569.7968020768</v>
      </c>
      <c r="D25" s="18">
        <f t="shared" si="13"/>
        <v>105000</v>
      </c>
      <c r="E25" s="18">
        <f t="shared" si="13"/>
        <v>428600</v>
      </c>
      <c r="F25" s="20">
        <f t="shared" si="13"/>
        <v>670169.79680207686</v>
      </c>
      <c r="G25" s="23">
        <f t="shared" si="13"/>
        <v>5836910.4187683109</v>
      </c>
      <c r="H25" s="18">
        <f t="shared" si="13"/>
        <v>5000000</v>
      </c>
      <c r="I25" s="18">
        <f t="shared" si="13"/>
        <v>836910.41876830882</v>
      </c>
      <c r="J25" s="20">
        <f t="shared" si="13"/>
        <v>41845520.938415445</v>
      </c>
      <c r="K25" s="20">
        <f t="shared" si="13"/>
        <v>26643789.563613284</v>
      </c>
      <c r="L25" s="25">
        <f t="shared" si="13"/>
        <v>10000000</v>
      </c>
      <c r="M25" s="18">
        <f t="shared" si="13"/>
        <v>15806879.144844977</v>
      </c>
      <c r="N25" s="18">
        <f t="shared" si="13"/>
        <v>3477513.4118658951</v>
      </c>
      <c r="O25" s="23">
        <f t="shared" si="13"/>
        <v>7329365.7329790816</v>
      </c>
      <c r="P25" s="23">
        <f t="shared" ref="P25" si="14">SUM(P3:P23)</f>
        <v>13166276.151747391</v>
      </c>
      <c r="Q25" s="20">
        <f>Q23</f>
        <v>13166276.151747391</v>
      </c>
      <c r="R25" s="35"/>
      <c r="S25" s="23">
        <f>SUM(S3:S23)</f>
        <v>6974109.815802604</v>
      </c>
      <c r="T25" s="37">
        <f>T23</f>
        <v>6974109.815802604</v>
      </c>
      <c r="U25" s="38">
        <f>U23</f>
        <v>0.10239819832585839</v>
      </c>
      <c r="V25" s="87">
        <f>SUM(V3:V23)</f>
        <v>9</v>
      </c>
      <c r="W25" s="36"/>
      <c r="X25" s="96">
        <f>SUM(X4:X23)</f>
        <v>273139.59360415372</v>
      </c>
      <c r="Y25" s="97">
        <f>($X4*Y4+$X5*Y5+$X6*Y6+$X7*Y7+$X8*Y8+$X9*Y9+$X10*Y10+$X11*Y11+$X12*Y12+$X13*Y13+$X14*Y14+$X15*Y15+$X16*Y16+$X17*Y17+$X18*Y18+$X19*Y19+$X20*Y20+$X21*Y21+$X22*Y22+$X23*Y23)/$X25</f>
        <v>2.4535798269265836</v>
      </c>
      <c r="Z25" s="98">
        <f>($X4*Z4+$X5*Z5+$X6*Z6+$X7*Z7+$X8*Z8+$X9*Z9+$X10*Z10+$X11*Z11+$X12*Z12+$X13*Z13+$X14*Z14+$X15*Z15+$X16*Z16+$X17*Z17+$X18*Z18+$X19*Z19+$X20*Z20+$X21*Z21+$X22*Z22+$X23*Z23)/$X25</f>
        <v>23.823277063964373</v>
      </c>
    </row>
    <row r="26" spans="1:26" ht="13" x14ac:dyDescent="0.3">
      <c r="T26" s="36"/>
    </row>
    <row r="27" spans="1:26" x14ac:dyDescent="0.25">
      <c r="G27" s="82"/>
      <c r="H27" s="1"/>
    </row>
    <row r="28" spans="1:26" ht="12" customHeight="1" x14ac:dyDescent="0.25">
      <c r="G28" s="82"/>
      <c r="H28" s="1"/>
    </row>
    <row r="29" spans="1:26" ht="12" customHeight="1" x14ac:dyDescent="0.25">
      <c r="G29" s="82"/>
      <c r="H29" s="1"/>
      <c r="O29" s="1"/>
      <c r="Q29" s="1"/>
    </row>
    <row r="30" spans="1:26" x14ac:dyDescent="0.25">
      <c r="G30" s="82"/>
      <c r="H30" s="1"/>
      <c r="O30" s="1"/>
      <c r="Q30" s="1"/>
    </row>
    <row r="31" spans="1:26" x14ac:dyDescent="0.25">
      <c r="G31" s="82"/>
      <c r="H31" s="1"/>
      <c r="O31" s="1"/>
      <c r="Q31" s="1"/>
    </row>
    <row r="32" spans="1:26" ht="12" customHeight="1" x14ac:dyDescent="0.25">
      <c r="G32" s="82"/>
      <c r="H32" s="1"/>
      <c r="O32" s="1"/>
      <c r="Q32" s="1"/>
    </row>
    <row r="33" spans="7:8" x14ac:dyDescent="0.25">
      <c r="G33" s="82"/>
      <c r="H33" s="1"/>
    </row>
    <row r="34" spans="7:8" ht="12" customHeight="1" x14ac:dyDescent="0.25">
      <c r="G34" s="82"/>
      <c r="H34" s="1"/>
    </row>
    <row r="35" spans="7:8" x14ac:dyDescent="0.25">
      <c r="G35" s="82"/>
      <c r="H35" s="1"/>
    </row>
    <row r="36" spans="7:8" ht="12" customHeight="1" x14ac:dyDescent="0.25">
      <c r="G36" s="82"/>
      <c r="H36" s="1"/>
    </row>
    <row r="37" spans="7:8" ht="12" customHeight="1" x14ac:dyDescent="0.25">
      <c r="G37" s="82"/>
      <c r="H37" s="1"/>
    </row>
    <row r="38" spans="7:8" ht="12" customHeight="1" x14ac:dyDescent="0.25">
      <c r="G38" s="82"/>
      <c r="H38" s="1"/>
    </row>
    <row r="39" spans="7:8" x14ac:dyDescent="0.25">
      <c r="G39" s="82"/>
      <c r="H39" s="1"/>
    </row>
    <row r="40" spans="7:8" ht="12" customHeight="1" x14ac:dyDescent="0.25">
      <c r="G40" s="82"/>
      <c r="H40" s="1"/>
    </row>
    <row r="41" spans="7:8" ht="12" customHeight="1" x14ac:dyDescent="0.25">
      <c r="G41" s="82"/>
      <c r="H41" s="1"/>
    </row>
    <row r="42" spans="7:8" x14ac:dyDescent="0.25">
      <c r="G42" s="82"/>
      <c r="H42" s="1"/>
    </row>
    <row r="43" spans="7:8" x14ac:dyDescent="0.25">
      <c r="G43" s="82"/>
      <c r="H43" s="1"/>
    </row>
    <row r="44" spans="7:8" x14ac:dyDescent="0.25">
      <c r="G44" s="82"/>
      <c r="H44" s="1"/>
    </row>
    <row r="45" spans="7:8" x14ac:dyDescent="0.25">
      <c r="G45" s="82"/>
      <c r="H45" s="1"/>
    </row>
    <row r="46" spans="7:8" x14ac:dyDescent="0.25">
      <c r="G46" s="82"/>
      <c r="H46" s="1"/>
    </row>
    <row r="47" spans="7:8" ht="12" customHeight="1" x14ac:dyDescent="0.25">
      <c r="G47" s="82"/>
    </row>
    <row r="48" spans="7:8" ht="13.5" customHeight="1" x14ac:dyDescent="0.25"/>
    <row r="49" ht="12" customHeight="1" x14ac:dyDescent="0.25"/>
  </sheetData>
  <mergeCells count="5">
    <mergeCell ref="S1:T1"/>
    <mergeCell ref="C1:F1"/>
    <mergeCell ref="G1:J1"/>
    <mergeCell ref="K1:N1"/>
    <mergeCell ref="O1:Q1"/>
  </mergeCells>
  <pageMargins left="0.75000000000000011" right="0.75000000000000011" top="1" bottom="1" header="0.5" footer="0.5"/>
  <pageSetup paperSize="9" scale="60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N191"/>
  <sheetViews>
    <sheetView topLeftCell="A138" workbookViewId="0">
      <selection activeCell="D151" sqref="D151"/>
    </sheetView>
  </sheetViews>
  <sheetFormatPr defaultColWidth="8.7265625" defaultRowHeight="12.5" x14ac:dyDescent="0.25"/>
  <cols>
    <col min="1" max="1" width="16.26953125" customWidth="1"/>
    <col min="2" max="2" width="12.26953125" bestFit="1" customWidth="1"/>
    <col min="14" max="14" width="10.1796875" bestFit="1" customWidth="1"/>
  </cols>
  <sheetData>
    <row r="1" spans="1:13" x14ac:dyDescent="0.25">
      <c r="A1" s="99"/>
      <c r="B1" s="100"/>
    </row>
    <row r="2" spans="1:13" x14ac:dyDescent="0.25">
      <c r="A2" s="99"/>
    </row>
    <row r="3" spans="1:13" x14ac:dyDescent="0.25">
      <c r="A3" s="99"/>
      <c r="B3" s="99"/>
    </row>
    <row r="4" spans="1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9" spans="1:13" x14ac:dyDescent="0.25">
      <c r="A29" s="99"/>
    </row>
    <row r="30" spans="1:13" x14ac:dyDescent="0.25">
      <c r="A30" s="99"/>
      <c r="B30" s="99"/>
    </row>
    <row r="31" spans="1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6" spans="1:13" x14ac:dyDescent="0.25">
      <c r="A56" s="99"/>
      <c r="B56" s="99"/>
    </row>
    <row r="57" spans="1:13" x14ac:dyDescent="0.25">
      <c r="A57" s="9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9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9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9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9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9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9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9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9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9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9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9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9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9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9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9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9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9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9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9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9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9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9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9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2" spans="1:13" x14ac:dyDescent="0.25">
      <c r="A82" s="99"/>
      <c r="B82" s="100"/>
    </row>
    <row r="83" spans="1:13" x14ac:dyDescent="0.25">
      <c r="A83" s="99"/>
      <c r="B83" s="99"/>
    </row>
    <row r="84" spans="1:13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4" ht="13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1"/>
    </row>
    <row r="109" spans="1:14" x14ac:dyDescent="0.25">
      <c r="A109" s="99"/>
      <c r="B109" s="100"/>
    </row>
    <row r="110" spans="1:14" x14ac:dyDescent="0.25">
      <c r="A110" s="99"/>
      <c r="B110" s="99"/>
    </row>
    <row r="111" spans="1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ht="13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01"/>
    </row>
    <row r="137" spans="1:14" x14ac:dyDescent="0.25">
      <c r="A137" s="99"/>
      <c r="B137" s="100"/>
    </row>
    <row r="138" spans="1:14" x14ac:dyDescent="0.25">
      <c r="A138" s="99"/>
      <c r="B138" s="99"/>
    </row>
    <row r="139" spans="1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4" ht="13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01"/>
    </row>
    <row r="164" spans="1:14" x14ac:dyDescent="0.25">
      <c r="A164" s="99"/>
      <c r="B164" s="100"/>
    </row>
    <row r="165" spans="1:14" x14ac:dyDescent="0.25">
      <c r="A165" s="99"/>
      <c r="B165" s="99"/>
    </row>
    <row r="189" spans="14:14" ht="13" x14ac:dyDescent="0.3">
      <c r="N189" s="101"/>
    </row>
    <row r="191" spans="14:14" ht="13" x14ac:dyDescent="0.3">
      <c r="N191" s="102"/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workbookViewId="0"/>
  </sheetViews>
  <sheetFormatPr defaultColWidth="8.7265625" defaultRowHeight="12.5" x14ac:dyDescent="0.25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RiskSerializationData</vt:lpstr>
      <vt:lpstr>Input</vt:lpstr>
      <vt:lpstr>Project IRR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Athanasios Dagoumas</dc:creator>
  <cp:keywords/>
  <dc:description/>
  <cp:lastModifiedBy>ATHANASIOS  DAGOUMAS</cp:lastModifiedBy>
  <cp:lastPrinted>2013-10-16T10:54:01Z</cp:lastPrinted>
  <dcterms:created xsi:type="dcterms:W3CDTF">2011-11-04T06:42:36Z</dcterms:created>
  <dcterms:modified xsi:type="dcterms:W3CDTF">2026-03-10T14:55:17Z</dcterms:modified>
  <cp:category/>
</cp:coreProperties>
</file>