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ago\Dropbox\UNIPI\Courses\UNIPI\Courses\Master\Master_Financing\Analysis\"/>
    </mc:Choice>
  </mc:AlternateContent>
  <xr:revisionPtr revIDLastSave="0" documentId="13_ncr:1_{629AB02D-7B39-499F-88A6-4AB2651568A8}" xr6:coauthVersionLast="47" xr6:coauthVersionMax="47" xr10:uidLastSave="{00000000-0000-0000-0000-000000000000}"/>
  <bookViews>
    <workbookView xWindow="-110" yWindow="-110" windowWidth="25820" windowHeight="15500" tabRatio="500" firstSheet="4" activeTab="7" xr2:uid="{00000000-000D-0000-FFFF-FFFF00000000}"/>
  </bookViews>
  <sheets>
    <sheet name="Ratios" sheetId="1" r:id="rId1"/>
    <sheet name="Income Statement" sheetId="2" r:id="rId2"/>
    <sheet name="Common-Size Balance Sheet" sheetId="3" r:id="rId3"/>
    <sheet name="Cash Flow Statement" sheetId="4" r:id="rId4"/>
    <sheet name="FCFF &amp; FCFE" sheetId="5" r:id="rId5"/>
    <sheet name="Common-Size P&amp;L (Charts)" sheetId="6" r:id="rId6"/>
    <sheet name="Dashboard" sheetId="7" r:id="rId7"/>
    <sheet name="Scenarios" sheetId="8" r:id="rId8"/>
    <sheet name="Sensitivity (Net Income)" sheetId="9" r:id="rId9"/>
    <sheet name="Sensitivity (FCFF)" sheetId="10" r:id="rId10"/>
    <sheet name="Tornado (FCFF)" sheetId="11" r:id="rId11"/>
    <sheet name="Tornado (Net Income)" sheetId="12" r:id="rId12"/>
  </sheets>
  <definedNames>
    <definedName name="Accounts_Payable">Ratios!$B$10</definedName>
    <definedName name="Accounts_Receivable">Ratios!$B$9</definedName>
    <definedName name="Beginning_Cash">'Cash Flow Statement'!$B$5</definedName>
    <definedName name="CapEx">'Cash Flow Statement'!$B$9</definedName>
    <definedName name="COGS">Ratios!$B$15</definedName>
    <definedName name="Current_Assets">Ratios!$B$5</definedName>
    <definedName name="Current_Liabilities">Ratios!$B$11</definedName>
    <definedName name="Delta_AP">'Cash Flow Statement'!$B$8</definedName>
    <definedName name="Delta_AR">'Cash Flow Statement'!$B$6</definedName>
    <definedName name="Delta_Inventory">'Cash Flow Statement'!$B$7</definedName>
    <definedName name="Depreciation_Amortization">'Income Statement'!$B$10</definedName>
    <definedName name="Dividend_per_Share">Ratios!$B$22</definedName>
    <definedName name="Dividends_Paid">'Cash Flow Statement'!$B$12</definedName>
    <definedName name="EBIT">Ratios!$B$19</definedName>
    <definedName name="Ending_Cash">'Cash Flow Statement'!$B$29</definedName>
    <definedName name="Equity">Ratios!$B$13</definedName>
    <definedName name="Fixed_Assets">Ratios!$B$6</definedName>
    <definedName name="Gross_Profit">Ratios!$B$16</definedName>
    <definedName name="Interest_Expense">Ratios!$B$18</definedName>
    <definedName name="Inventories">Ratios!$B$8</definedName>
    <definedName name="Long_Term_Liabilities">Ratios!$B$12</definedName>
    <definedName name="Net_Borrowing">'Cash Flow Statement'!$B$10</definedName>
    <definedName name="Net_Income">Ratios!$B$17</definedName>
    <definedName name="Net_Income_IS">'Income Statement'!$B$25</definedName>
    <definedName name="Sales">Ratios!$B$14</definedName>
    <definedName name="Scen_Admin_Pct">Scenarios!$E$7</definedName>
    <definedName name="Scen_CapEx">Scenarios!$E$12</definedName>
    <definedName name="Scen_COGS_Pct">Scenarios!$E$5</definedName>
    <definedName name="Scen_DA_Pct">Scenarios!$E$9</definedName>
    <definedName name="Scen_DAP_Pct">Scenarios!$E$15</definedName>
    <definedName name="Scen_DAR_Pct">Scenarios!$E$13</definedName>
    <definedName name="Scen_DInv_Pct">Scenarios!$E$14</definedName>
    <definedName name="Scen_DivPS">Scenarios!$E$16</definedName>
    <definedName name="Scen_Interest">Scenarios!$E$10</definedName>
    <definedName name="Scen_RnD_Pct">Scenarios!$E$8</definedName>
    <definedName name="Scen_Sales">Scenarios!$E$4</definedName>
    <definedName name="Scen_Sell_Pct">Scenarios!$E$6</definedName>
    <definedName name="Scen_SharePrice">Scenarios!$E$17</definedName>
    <definedName name="Scen_Tax">Scenarios!$E$11</definedName>
    <definedName name="Scenario_Col">Scenarios!$B$20</definedName>
    <definedName name="Selected_Scenario">Scenarios!$B$2</definedName>
    <definedName name="Share_Price">Ratios!$B$21</definedName>
    <definedName name="Shares_Outstanding">Ratios!$B$20</definedName>
    <definedName name="Tax_Rate">'Income Statement'!$B$12</definedName>
    <definedName name="Total_Assets">Ratios!$B$7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8" l="1"/>
  <c r="E15" i="8" s="1"/>
  <c r="E10" i="8"/>
  <c r="J8" i="8"/>
  <c r="I8" i="8"/>
  <c r="H8" i="8"/>
  <c r="J7" i="8"/>
  <c r="I7" i="8"/>
  <c r="H7" i="8"/>
  <c r="J6" i="8"/>
  <c r="I6" i="8"/>
  <c r="H6" i="8"/>
  <c r="J5" i="8"/>
  <c r="I5" i="8"/>
  <c r="H5" i="8"/>
  <c r="B22" i="7"/>
  <c r="N7" i="7"/>
  <c r="N6" i="7"/>
  <c r="N5" i="7"/>
  <c r="B30" i="5"/>
  <c r="B13" i="5"/>
  <c r="B34" i="5" s="1"/>
  <c r="B7" i="5"/>
  <c r="B28" i="4"/>
  <c r="B24" i="4"/>
  <c r="B23" i="4"/>
  <c r="B11" i="2"/>
  <c r="F12" i="2" s="1"/>
  <c r="C73" i="1"/>
  <c r="F52" i="1"/>
  <c r="F50" i="1"/>
  <c r="C45" i="1"/>
  <c r="C44" i="1"/>
  <c r="C43" i="1"/>
  <c r="B5" i="7" s="1"/>
  <c r="E5" i="7" s="1"/>
  <c r="C42" i="1"/>
  <c r="B4" i="7" s="1"/>
  <c r="E4" i="7" s="1"/>
  <c r="C36" i="1"/>
  <c r="C33" i="1"/>
  <c r="F36" i="1" s="1"/>
  <c r="B18" i="1"/>
  <c r="B7" i="1"/>
  <c r="C35" i="1" s="1"/>
  <c r="E10" i="3"/>
  <c r="F10" i="3" s="1"/>
  <c r="E9" i="3"/>
  <c r="L8" i="3" s="1"/>
  <c r="B9" i="3"/>
  <c r="I8" i="3" s="1"/>
  <c r="E8" i="3"/>
  <c r="F8" i="3" s="1"/>
  <c r="B8" i="3"/>
  <c r="L7" i="3"/>
  <c r="I7" i="3"/>
  <c r="E7" i="3"/>
  <c r="F7" i="3" s="1"/>
  <c r="B7" i="3"/>
  <c r="C7" i="3" s="1"/>
  <c r="E6" i="3"/>
  <c r="L6" i="3" s="1"/>
  <c r="B6" i="3"/>
  <c r="C6" i="3" s="1"/>
  <c r="L5" i="3"/>
  <c r="E5" i="3"/>
  <c r="B5" i="3"/>
  <c r="I5" i="3" s="1"/>
  <c r="E4" i="8" l="1"/>
  <c r="E16" i="8"/>
  <c r="B22" i="1" s="1"/>
  <c r="C5" i="3"/>
  <c r="F6" i="3"/>
  <c r="C9" i="3"/>
  <c r="B22" i="2"/>
  <c r="E5" i="8"/>
  <c r="B26" i="7" s="1"/>
  <c r="E7" i="8"/>
  <c r="E9" i="8"/>
  <c r="E17" i="8"/>
  <c r="B21" i="1" s="1"/>
  <c r="I6" i="3"/>
  <c r="C34" i="1"/>
  <c r="F51" i="1"/>
  <c r="E11" i="8"/>
  <c r="B12" i="2" s="1"/>
  <c r="C8" i="3"/>
  <c r="F34" i="1"/>
  <c r="B10" i="3"/>
  <c r="C10" i="3" s="1"/>
  <c r="E12" i="8"/>
  <c r="B9" i="4" s="1"/>
  <c r="E6" i="8"/>
  <c r="E8" i="8"/>
  <c r="E13" i="8"/>
  <c r="F9" i="3"/>
  <c r="E14" i="8"/>
  <c r="F5" i="3"/>
  <c r="F35" i="1"/>
  <c r="B6" i="5" l="1"/>
  <c r="B33" i="5"/>
  <c r="B27" i="7"/>
  <c r="B35" i="7"/>
  <c r="B12" i="4"/>
  <c r="B25" i="4" s="1"/>
  <c r="B26" i="4" s="1"/>
  <c r="C71" i="1"/>
  <c r="B12" i="7" s="1"/>
  <c r="B21" i="5"/>
  <c r="B21" i="4"/>
  <c r="B22" i="4" s="1"/>
  <c r="B12" i="5"/>
  <c r="B28" i="5" s="1"/>
  <c r="C8" i="12"/>
  <c r="B5" i="12"/>
  <c r="B11" i="9"/>
  <c r="D9" i="9"/>
  <c r="F7" i="9"/>
  <c r="B5" i="2"/>
  <c r="B8" i="12"/>
  <c r="F10" i="9"/>
  <c r="C9" i="9"/>
  <c r="E7" i="9"/>
  <c r="C6" i="12"/>
  <c r="E10" i="9"/>
  <c r="B9" i="9"/>
  <c r="D7" i="9"/>
  <c r="C9" i="12"/>
  <c r="B6" i="12"/>
  <c r="D10" i="9"/>
  <c r="F8" i="9"/>
  <c r="C7" i="9"/>
  <c r="B25" i="7"/>
  <c r="B9" i="12"/>
  <c r="F11" i="9"/>
  <c r="C10" i="9"/>
  <c r="E8" i="9"/>
  <c r="B7" i="9"/>
  <c r="C7" i="12"/>
  <c r="C4" i="12"/>
  <c r="E11" i="9"/>
  <c r="B10" i="9"/>
  <c r="D8" i="9"/>
  <c r="B7" i="12"/>
  <c r="B4" i="12"/>
  <c r="D11" i="9"/>
  <c r="F9" i="9"/>
  <c r="C8" i="9"/>
  <c r="B14" i="1"/>
  <c r="C5" i="12"/>
  <c r="C11" i="9"/>
  <c r="E9" i="9"/>
  <c r="B8" i="9"/>
  <c r="E18" i="4" l="1"/>
  <c r="N24" i="7"/>
  <c r="B10" i="2"/>
  <c r="B9" i="2"/>
  <c r="F10" i="2" s="1"/>
  <c r="B15" i="2"/>
  <c r="B8" i="2"/>
  <c r="F9" i="2" s="1"/>
  <c r="B6" i="2"/>
  <c r="B7" i="2"/>
  <c r="E17" i="4"/>
  <c r="N23" i="7"/>
  <c r="C63" i="1"/>
  <c r="C60" i="1"/>
  <c r="B16" i="1"/>
  <c r="C52" i="1" s="1"/>
  <c r="F67" i="1" s="1"/>
  <c r="B7" i="4"/>
  <c r="B15" i="1"/>
  <c r="B6" i="4"/>
  <c r="C61" i="1"/>
  <c r="B10" i="5" l="1"/>
  <c r="B18" i="4"/>
  <c r="H19" i="4" s="1"/>
  <c r="B9" i="7"/>
  <c r="F38" i="1"/>
  <c r="B18" i="2"/>
  <c r="C18" i="2" s="1"/>
  <c r="F8" i="2"/>
  <c r="B16" i="2"/>
  <c r="C16" i="2" s="1"/>
  <c r="B5" i="6" s="1"/>
  <c r="F7" i="2"/>
  <c r="C64" i="1"/>
  <c r="B8" i="4"/>
  <c r="E10" i="10" s="1"/>
  <c r="C62" i="1"/>
  <c r="B20" i="5"/>
  <c r="B20" i="2"/>
  <c r="B8" i="5"/>
  <c r="B27" i="5" s="1"/>
  <c r="F11" i="2"/>
  <c r="B9" i="5"/>
  <c r="B16" i="5"/>
  <c r="B29" i="5" s="1"/>
  <c r="B17" i="4"/>
  <c r="H18" i="4" s="1"/>
  <c r="E7" i="10"/>
  <c r="B7" i="11"/>
  <c r="B10" i="10"/>
  <c r="B8" i="11"/>
  <c r="B9" i="10"/>
  <c r="B4" i="11"/>
  <c r="D8" i="10"/>
  <c r="C6" i="11"/>
  <c r="C8" i="10"/>
  <c r="D9" i="10"/>
  <c r="D7" i="10"/>
  <c r="D10" i="10"/>
  <c r="B10" i="11"/>
  <c r="C11" i="10"/>
  <c r="C9" i="11"/>
  <c r="F8" i="10"/>
  <c r="E9" i="10"/>
  <c r="B6" i="11"/>
  <c r="B8" i="10"/>
  <c r="C7" i="10"/>
  <c r="F11" i="10"/>
  <c r="E11" i="10"/>
  <c r="C10" i="10"/>
  <c r="C8" i="11"/>
  <c r="C10" i="11"/>
  <c r="C7" i="11"/>
  <c r="E8" i="10"/>
  <c r="B5" i="11"/>
  <c r="B7" i="10"/>
  <c r="C15" i="2"/>
  <c r="B4" i="6" s="1"/>
  <c r="B17" i="2"/>
  <c r="F16" i="2"/>
  <c r="C22" i="2"/>
  <c r="B11" i="6" s="1"/>
  <c r="F10" i="10" l="1"/>
  <c r="B11" i="10"/>
  <c r="F9" i="10"/>
  <c r="D11" i="10"/>
  <c r="B16" i="4"/>
  <c r="H17" i="4" s="1"/>
  <c r="C20" i="2"/>
  <c r="B9" i="6" s="1"/>
  <c r="E5" i="6"/>
  <c r="B7" i="6"/>
  <c r="F17" i="2"/>
  <c r="C17" i="2"/>
  <c r="B19" i="2"/>
  <c r="B11" i="5"/>
  <c r="B19" i="4"/>
  <c r="H20" i="4" s="1"/>
  <c r="C4" i="11"/>
  <c r="B9" i="11"/>
  <c r="C5" i="11"/>
  <c r="F7" i="10"/>
  <c r="C9" i="10"/>
  <c r="B22" i="5"/>
  <c r="F18" i="2" l="1"/>
  <c r="B21" i="2"/>
  <c r="C19" i="2"/>
  <c r="E4" i="6"/>
  <c r="B6" i="6"/>
  <c r="B8" i="6" l="1"/>
  <c r="E6" i="6"/>
  <c r="B28" i="7"/>
  <c r="C21" i="2"/>
  <c r="B19" i="1"/>
  <c r="B23" i="2"/>
  <c r="F19" i="2"/>
  <c r="B24" i="2" l="1"/>
  <c r="C24" i="2" s="1"/>
  <c r="B13" i="6" s="1"/>
  <c r="F20" i="2"/>
  <c r="C23" i="2"/>
  <c r="B12" i="6" s="1"/>
  <c r="B5" i="5"/>
  <c r="C55" i="1"/>
  <c r="F71" i="1" s="1"/>
  <c r="B19" i="5"/>
  <c r="B23" i="5" s="1"/>
  <c r="C37" i="1"/>
  <c r="F37" i="1" s="1"/>
  <c r="B31" i="7"/>
  <c r="H4" i="11"/>
  <c r="B10" i="6"/>
  <c r="E7" i="6"/>
  <c r="B32" i="5" l="1"/>
  <c r="B35" i="5" s="1"/>
  <c r="E9" i="5" s="1"/>
  <c r="B13" i="7"/>
  <c r="E7" i="5"/>
  <c r="F5" i="11"/>
  <c r="F8" i="11"/>
  <c r="F6" i="11"/>
  <c r="F9" i="11"/>
  <c r="F7" i="11"/>
  <c r="F4" i="11"/>
  <c r="F10" i="11"/>
  <c r="E6" i="11"/>
  <c r="E10" i="11"/>
  <c r="D4" i="11"/>
  <c r="D5" i="11"/>
  <c r="D6" i="11"/>
  <c r="E9" i="11"/>
  <c r="D8" i="11"/>
  <c r="E8" i="11"/>
  <c r="E7" i="11"/>
  <c r="D7" i="11"/>
  <c r="D10" i="11"/>
  <c r="E5" i="11"/>
  <c r="D9" i="11"/>
  <c r="E4" i="11"/>
  <c r="B25" i="2"/>
  <c r="B15" i="4" l="1"/>
  <c r="B17" i="1"/>
  <c r="H4" i="12"/>
  <c r="C25" i="2"/>
  <c r="F21" i="2"/>
  <c r="E8" i="6" l="1"/>
  <c r="B14" i="6"/>
  <c r="F9" i="12"/>
  <c r="F7" i="12"/>
  <c r="F4" i="12"/>
  <c r="F5" i="12"/>
  <c r="F8" i="12"/>
  <c r="F6" i="12"/>
  <c r="E7" i="12"/>
  <c r="E6" i="12"/>
  <c r="D6" i="12"/>
  <c r="D9" i="12"/>
  <c r="E4" i="12"/>
  <c r="D8" i="12"/>
  <c r="D4" i="12"/>
  <c r="E9" i="12"/>
  <c r="D5" i="12"/>
  <c r="D7" i="12"/>
  <c r="E8" i="12"/>
  <c r="E5" i="12"/>
  <c r="C69" i="1"/>
  <c r="B10" i="7" s="1"/>
  <c r="C46" i="1"/>
  <c r="C53" i="1"/>
  <c r="C54" i="1"/>
  <c r="B32" i="7"/>
  <c r="B14" i="5"/>
  <c r="B26" i="5" s="1"/>
  <c r="B31" i="5" s="1"/>
  <c r="B30" i="7"/>
  <c r="B29" i="7"/>
  <c r="C51" i="1"/>
  <c r="C70" i="1"/>
  <c r="B11" i="7" s="1"/>
  <c r="B34" i="7"/>
  <c r="C72" i="1"/>
  <c r="B20" i="4"/>
  <c r="H16" i="4"/>
  <c r="B7" i="7" l="1"/>
  <c r="E10" i="7" s="1"/>
  <c r="F70" i="1"/>
  <c r="F69" i="1"/>
  <c r="B6" i="7"/>
  <c r="E9" i="7" s="1"/>
  <c r="F68" i="1"/>
  <c r="B8" i="7"/>
  <c r="E11" i="7" s="1"/>
  <c r="B14" i="7"/>
  <c r="E8" i="5"/>
  <c r="H21" i="4"/>
  <c r="B27" i="4"/>
  <c r="E16" i="4"/>
  <c r="N22" i="7"/>
  <c r="B29" i="4" l="1"/>
  <c r="N25" i="7"/>
  <c r="E19" i="4"/>
  <c r="B15" i="7" l="1"/>
  <c r="B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4" authorId="0" shapeId="0" xr:uid="{00000000-0006-0000-0600-000001000000}">
      <text>
        <r>
          <rPr>
            <sz val="10"/>
            <rFont val="Arial"/>
            <family val="2"/>
          </rPr>
          <t>Ρευστότητα: Current Assets / Current Liabilities.
Τι &gt;1 υποδηλώνει επάρκεια για κάλυψη βραχυπρόθεσμων υποχρεώσεων.</t>
        </r>
      </text>
    </comment>
    <comment ref="A5" authorId="0" shapeId="0" xr:uid="{00000000-0006-0000-0600-000002000000}">
      <text>
        <r>
          <rPr>
            <sz val="10"/>
            <rFont val="Arial"/>
            <family val="2"/>
          </rPr>
          <t>Άμεση ρευστότητα: (Current Assets – Inventories) / Current Liabilities.
Αφαιρεί τα αποθέματα.</t>
        </r>
      </text>
    </comment>
    <comment ref="A6" authorId="0" shapeId="0" xr:uid="{00000000-0006-0000-0600-000003000000}">
      <text>
        <r>
          <rPr>
            <sz val="10"/>
            <rFont val="Arial"/>
            <family val="2"/>
          </rPr>
          <t>Return on Equity: Net Income / Equity.
Απόδοση για τους μετόχους.</t>
        </r>
      </text>
    </comment>
    <comment ref="A7" authorId="0" shapeId="0" xr:uid="{00000000-0006-0000-0600-000004000000}">
      <text>
        <r>
          <rPr>
            <sz val="10"/>
            <rFont val="Arial"/>
            <family val="2"/>
          </rPr>
          <t>Return on Assets: Net Income / Total Assets.
Αποδοτικότητα χρήσης ενεργητικού.</t>
        </r>
      </text>
    </comment>
    <comment ref="A8" authorId="0" shapeId="0" xr:uid="{00000000-0006-0000-0600-000005000000}">
      <text>
        <r>
          <rPr>
            <sz val="10"/>
            <rFont val="Arial"/>
            <family val="2"/>
          </rPr>
          <t>Καθαρό Περιθώριο: Net Income / Sales.
Κάθε € πώλησης πόσο κέρδος αφήνει.</t>
        </r>
      </text>
    </comment>
    <comment ref="A9" authorId="0" shapeId="0" xr:uid="{00000000-0006-0000-0600-000006000000}">
      <text>
        <r>
          <rPr>
            <sz val="10"/>
            <rFont val="Arial"/>
            <family val="2"/>
          </rPr>
          <t>Κυκλοφοριακή Ταχύτητα Ενεργητικού: Sales / Total Assets.
Έσοδα ανά € ενεργητικού.</t>
        </r>
      </text>
    </comment>
    <comment ref="A10" authorId="0" shapeId="0" xr:uid="{00000000-0006-0000-0600-000007000000}">
      <text>
        <r>
          <rPr>
            <sz val="10"/>
            <rFont val="Arial"/>
            <family val="2"/>
          </rPr>
          <t>Earnings per Share: Net Income / Shares Outstanding.
Κέρδη ανά μετοχή.</t>
        </r>
      </text>
    </comment>
    <comment ref="A11" authorId="0" shapeId="0" xr:uid="{00000000-0006-0000-0600-000008000000}">
      <text>
        <r>
          <rPr>
            <sz val="10"/>
            <rFont val="Arial"/>
            <family val="2"/>
          </rPr>
          <t>Price to Earnings: Share Price / EPS.
Πόσες φορές τα κέρδη αποτιμά η αγορά.</t>
        </r>
      </text>
    </comment>
    <comment ref="A12" authorId="0" shapeId="0" xr:uid="{00000000-0006-0000-0600-000009000000}">
      <text>
        <r>
          <rPr>
            <sz val="10"/>
            <rFont val="Arial"/>
            <family val="2"/>
          </rPr>
          <t>Μερισματική Απόδοση: Dividend per Share / Share Price.
% απόδοση μερίσματος.</t>
        </r>
      </text>
    </comment>
    <comment ref="A13" authorId="0" shapeId="0" xr:uid="{00000000-0006-0000-0600-00000A000000}">
      <text>
        <r>
          <rPr>
            <sz val="10"/>
            <rFont val="Arial"/>
            <family val="2"/>
          </rPr>
          <t>Free Cash Flow to Firm: EBIT×(1–Tax) + D&amp;A – CapEx – ΔNWC.
Ταμειακές ροές για όλους τους παρόχους κεφαλαίου.</t>
        </r>
      </text>
    </comment>
    <comment ref="A14" authorId="0" shapeId="0" xr:uid="{00000000-0006-0000-0600-00000B000000}">
      <text>
        <r>
          <rPr>
            <sz val="10"/>
            <rFont val="Arial"/>
            <family val="2"/>
          </rPr>
          <t>Free Cash Flow to Equity: NI + D&amp;A – CapEx – ΔNWC + Net Borrowing.
Ταμειακές ροές προς μετόχους.</t>
        </r>
      </text>
    </comment>
    <comment ref="A15" authorId="0" shapeId="0" xr:uid="{00000000-0006-0000-0600-00000C000000}">
      <text>
        <r>
          <rPr>
            <sz val="10"/>
            <rFont val="Arial"/>
            <family val="2"/>
          </rPr>
          <t>Τελικό Ταμειακό Υπόλοιπο: Beginning Cash + Net Change in Cash.
Από το Cash Flow Statement.</t>
        </r>
      </text>
    </comment>
    <comment ref="A25" authorId="0" shapeId="0" xr:uid="{00000000-0006-0000-0600-00000D000000}">
      <text>
        <r>
          <rPr>
            <sz val="10"/>
            <rFont val="Arial"/>
            <family val="2"/>
          </rPr>
          <t>Πωλήσεις: από το επιλεγμένο Scenario (Scenarios!B2).</t>
        </r>
      </text>
    </comment>
    <comment ref="A26" authorId="0" shapeId="0" xr:uid="{00000000-0006-0000-0600-00000E000000}">
      <text>
        <r>
          <rPr>
            <sz val="10"/>
            <rFont val="Arial"/>
            <family val="2"/>
          </rPr>
          <t>Κόστος Πωληθέντων ως % Πωλήσεων.
Χρησιμοποιείται στη διαμόρφωση Gross Profit.</t>
        </r>
      </text>
    </comment>
    <comment ref="A27" authorId="0" shapeId="0" xr:uid="{00000000-0006-0000-0600-00000F000000}">
      <text>
        <r>
          <rPr>
            <sz val="10"/>
            <rFont val="Arial"/>
            <family val="2"/>
          </rPr>
          <t>Συνολικά λειτουργικά έξοδα ως % Πωλήσεων.
Selling + Admin + R&amp;D.</t>
        </r>
      </text>
    </comment>
    <comment ref="A28" authorId="0" shapeId="0" xr:uid="{00000000-0006-0000-0600-000010000000}">
      <text>
        <r>
          <rPr>
            <sz val="10"/>
            <rFont val="Arial"/>
            <family val="2"/>
          </rPr>
          <t>EBITDA / Sales.
Αντλείται από την ΚΑΧ (Common-Size).</t>
        </r>
      </text>
    </comment>
    <comment ref="A29" authorId="0" shapeId="0" xr:uid="{00000000-0006-0000-0600-000011000000}">
      <text>
        <r>
          <rPr>
            <sz val="10"/>
            <rFont val="Arial"/>
            <family val="2"/>
          </rPr>
          <t>Net Income / Sales.
Καθαρό περιθώριο.</t>
        </r>
      </text>
    </comment>
    <comment ref="A30" authorId="0" shapeId="0" xr:uid="{00000000-0006-0000-0600-000012000000}">
      <text>
        <r>
          <rPr>
            <sz val="10"/>
            <rFont val="Arial"/>
            <family val="2"/>
          </rPr>
          <t>Return on Equity: Net Income / Equity.</t>
        </r>
      </text>
    </comment>
    <comment ref="A31" authorId="0" shapeId="0" xr:uid="{00000000-0006-0000-0600-000013000000}">
      <text>
        <r>
          <rPr>
            <sz val="10"/>
            <rFont val="Arial"/>
            <family val="2"/>
          </rPr>
          <t>EBIT×(1–Tax) + D&amp;A – CapEx – ΔNWC.</t>
        </r>
      </text>
    </comment>
    <comment ref="A32" authorId="0" shapeId="0" xr:uid="{00000000-0006-0000-0600-000014000000}">
      <text>
        <r>
          <rPr>
            <sz val="10"/>
            <rFont val="Arial"/>
            <family val="2"/>
          </rPr>
          <t>NI + D&amp;A – CapEx – ΔNWC + Net Borrowing.</t>
        </r>
      </text>
    </comment>
    <comment ref="A33" authorId="0" shapeId="0" xr:uid="{00000000-0006-0000-0600-000015000000}">
      <text>
        <r>
          <rPr>
            <sz val="10"/>
            <rFont val="Arial"/>
            <family val="2"/>
          </rPr>
          <t>Τελικό Ταμείο από Cash Flow Statement.</t>
        </r>
      </text>
    </comment>
    <comment ref="A34" authorId="0" shapeId="0" xr:uid="{00000000-0006-0000-0600-000016000000}">
      <text>
        <r>
          <rPr>
            <sz val="10"/>
            <rFont val="Arial"/>
            <family val="2"/>
          </rPr>
          <t>Τιμή προς Κέρδη: Share Price / EPS.</t>
        </r>
      </text>
    </comment>
    <comment ref="A35" authorId="0" shapeId="0" xr:uid="{00000000-0006-0000-0600-000017000000}">
      <text>
        <r>
          <rPr>
            <sz val="10"/>
            <rFont val="Arial"/>
            <family val="2"/>
          </rPr>
          <t>Μέρισμα / Τιμή Μετοχής.</t>
        </r>
      </text>
    </comment>
  </commentList>
</comments>
</file>

<file path=xl/sharedStrings.xml><?xml version="1.0" encoding="utf-8"?>
<sst xmlns="http://schemas.openxmlformats.org/spreadsheetml/2006/main" count="424" uniqueCount="250">
  <si>
    <t>Financial Ratios – Inputs &amp; Calculations</t>
  </si>
  <si>
    <t>Inputs</t>
  </si>
  <si>
    <t>Current Assets</t>
  </si>
  <si>
    <t>Fixed Assets</t>
  </si>
  <si>
    <t>Total Assets</t>
  </si>
  <si>
    <t>Inventories</t>
  </si>
  <si>
    <t>Accounts Receivable</t>
  </si>
  <si>
    <t>Accounts Payable</t>
  </si>
  <si>
    <t>Current Liabilities</t>
  </si>
  <si>
    <t>Long-term Liabilities</t>
  </si>
  <si>
    <t>Equity</t>
  </si>
  <si>
    <t>Sales (Revenue)</t>
  </si>
  <si>
    <t>Cost of Goods Sold (COGS)</t>
  </si>
  <si>
    <t>Gross Profit</t>
  </si>
  <si>
    <t>Net Income (After Tax)</t>
  </si>
  <si>
    <t>Interest Expense</t>
  </si>
  <si>
    <t>EBIT</t>
  </si>
  <si>
    <t>Shares Outstanding</t>
  </si>
  <si>
    <t>Share Price</t>
  </si>
  <si>
    <t>Dividend per Share</t>
  </si>
  <si>
    <t>Leverage &amp; Capital Structure</t>
  </si>
  <si>
    <t>Ratio</t>
  </si>
  <si>
    <t>Formula</t>
  </si>
  <si>
    <t>Value</t>
  </si>
  <si>
    <t>Key Ratios Summary</t>
  </si>
  <si>
    <t>Debt to Equity</t>
  </si>
  <si>
    <t>(B11+B12)/B13</t>
  </si>
  <si>
    <t>Equity Ratio</t>
  </si>
  <si>
    <t>B13/B7</t>
  </si>
  <si>
    <t>Current Ratio</t>
  </si>
  <si>
    <t>Asset Leverage (Assets/Equity)</t>
  </si>
  <si>
    <t>B7/B13</t>
  </si>
  <si>
    <t>Quick Ratio</t>
  </si>
  <si>
    <t>LT Debt to (Equity+LT Debt)</t>
  </si>
  <si>
    <t>B12/(B13+B12)</t>
  </si>
  <si>
    <t>Debt/Equity</t>
  </si>
  <si>
    <t>Interest Coverage (EBIT/Interest)</t>
  </si>
  <si>
    <t>B19/B18</t>
  </si>
  <si>
    <t>Interest Coverage</t>
  </si>
  <si>
    <t>Asset Turnover</t>
  </si>
  <si>
    <t>Liquidity</t>
  </si>
  <si>
    <t>B5/B11</t>
  </si>
  <si>
    <t>Quick Ratio (Acid Test)</t>
  </si>
  <si>
    <t>(B5-B8)/B11</t>
  </si>
  <si>
    <t>Cash Ratio (approx.)</t>
  </si>
  <si>
    <t>(B5-B8-B9)/B11</t>
  </si>
  <si>
    <t>Net Working Capital</t>
  </si>
  <si>
    <t>B5-B11</t>
  </si>
  <si>
    <t>(NI+Interest)/Interest</t>
  </si>
  <si>
    <t>(B17+B18)/B18</t>
  </si>
  <si>
    <t>Liquidity Snapshot</t>
  </si>
  <si>
    <t>Profitability</t>
  </si>
  <si>
    <t>Net Profit Margin</t>
  </si>
  <si>
    <t>B17/B14</t>
  </si>
  <si>
    <t>Gross Margin</t>
  </si>
  <si>
    <t>B16/B14</t>
  </si>
  <si>
    <t>Cash Ratio</t>
  </si>
  <si>
    <t>ROE</t>
  </si>
  <si>
    <t>B17/B13</t>
  </si>
  <si>
    <t>ROA</t>
  </si>
  <si>
    <t>B17/B7</t>
  </si>
  <si>
    <t>ROI (EBIT/NWC+Fixed)</t>
  </si>
  <si>
    <t>B19/(B7-B11)</t>
  </si>
  <si>
    <t>Activity</t>
  </si>
  <si>
    <t>B14/B7</t>
  </si>
  <si>
    <t>Fixed Asset Turnover</t>
  </si>
  <si>
    <t>B14/B6</t>
  </si>
  <si>
    <t>Inventory Turnover</t>
  </si>
  <si>
    <t>B15/B8</t>
  </si>
  <si>
    <t>Days Sales Outstanding (DSO)</t>
  </si>
  <si>
    <t>(B9/B14)*365</t>
  </si>
  <si>
    <t>Days Payables Outstanding (DPO)</t>
  </si>
  <si>
    <t>(B10/B15)*365</t>
  </si>
  <si>
    <t>Profitability Margins</t>
  </si>
  <si>
    <t>Metric</t>
  </si>
  <si>
    <t>%</t>
  </si>
  <si>
    <t>Investment</t>
  </si>
  <si>
    <t>Net Margin</t>
  </si>
  <si>
    <t>Earnings per Share (EPS)</t>
  </si>
  <si>
    <t>B17/B20</t>
  </si>
  <si>
    <t>Price/Earnings (P/E)</t>
  </si>
  <si>
    <t>B21/(B17/B20)</t>
  </si>
  <si>
    <t>Dividend Yield</t>
  </si>
  <si>
    <t>B22/B21</t>
  </si>
  <si>
    <t>ROI</t>
  </si>
  <si>
    <t>Payout Ratio</t>
  </si>
  <si>
    <t>B22/(B17/B20)</t>
  </si>
  <si>
    <t>Book Value per Share</t>
  </si>
  <si>
    <t>B13/B20</t>
  </si>
  <si>
    <t>Income Statement – Example</t>
  </si>
  <si>
    <t>Cost Breakdown</t>
  </si>
  <si>
    <t>COGS</t>
  </si>
  <si>
    <t>Item</t>
  </si>
  <si>
    <t>Amount</t>
  </si>
  <si>
    <t>Selling Expenses</t>
  </si>
  <si>
    <t>Administrative Expenses</t>
  </si>
  <si>
    <t>Selling</t>
  </si>
  <si>
    <t>R&amp;D Expenses</t>
  </si>
  <si>
    <t>Admin</t>
  </si>
  <si>
    <t>Depreciation &amp; Amortization</t>
  </si>
  <si>
    <t>R&amp;D</t>
  </si>
  <si>
    <t>D&amp;A</t>
  </si>
  <si>
    <t>Tax Rate</t>
  </si>
  <si>
    <t>Interest</t>
  </si>
  <si>
    <t>Income Statement</t>
  </si>
  <si>
    <t>Common-Size (% of Sales)</t>
  </si>
  <si>
    <t>Earnings Cascade</t>
  </si>
  <si>
    <t>Stage</t>
  </si>
  <si>
    <t>Sales</t>
  </si>
  <si>
    <t>Selling, Administrative &amp; R&amp;D (Opex)</t>
  </si>
  <si>
    <t>EBITDA</t>
  </si>
  <si>
    <t>EBT</t>
  </si>
  <si>
    <t>Net Income</t>
  </si>
  <si>
    <t>Earnings Before Tax (EBT)</t>
  </si>
  <si>
    <t>Income Tax</t>
  </si>
  <si>
    <t>Notes:</t>
  </si>
  <si>
    <t>- Change values in the Inputs section; the statement updates automatically.</t>
  </si>
  <si>
    <t>- Tax Rate is applied to EBT. With current inputs, Net Income ≈ 50,000.</t>
  </si>
  <si>
    <t>Common-Size Balance Sheet (as % of Total Assets)</t>
  </si>
  <si>
    <t>ASSETS</t>
  </si>
  <si>
    <t>LIABILITIES &amp; EQUITY</t>
  </si>
  <si>
    <t>% of Total Assets</t>
  </si>
  <si>
    <t>Asset</t>
  </si>
  <si>
    <t>L&amp;E Component</t>
  </si>
  <si>
    <t>Cash &amp; Equivalents (approx.)</t>
  </si>
  <si>
    <t>Cash &amp; Equivalents</t>
  </si>
  <si>
    <t>Other Current Liabilities (plug)</t>
  </si>
  <si>
    <t>Other Current Liab.</t>
  </si>
  <si>
    <t>Total Current Liabilities</t>
  </si>
  <si>
    <t>Total Current Assets</t>
  </si>
  <si>
    <t>TOTAL ASSETS</t>
  </si>
  <si>
    <t>TOTAL LIABILITIES &amp; EQUITY</t>
  </si>
  <si>
    <t>Cash Flow Statement – Indirect Method</t>
  </si>
  <si>
    <t>Beginning Cash</t>
  </si>
  <si>
    <t>Δ Accounts Receivable (AR)</t>
  </si>
  <si>
    <t>Δ Inventories</t>
  </si>
  <si>
    <t>Δ Accounts Payable (AP)</t>
  </si>
  <si>
    <t>Capital Expenditures (CapEx)</t>
  </si>
  <si>
    <t>Net Borrowing (Δ Debt)</t>
  </si>
  <si>
    <t>Share Issuance / (Buyback)</t>
  </si>
  <si>
    <t>Dividends Paid</t>
  </si>
  <si>
    <t>Cash Flow Statement</t>
  </si>
  <si>
    <t>Cash Flow Summary</t>
  </si>
  <si>
    <t>Operating Activities Detail</t>
  </si>
  <si>
    <t>Category</t>
  </si>
  <si>
    <t>Amount (EUR)</t>
  </si>
  <si>
    <t>Component</t>
  </si>
  <si>
    <t>+ Depreciation &amp; Amortization (non-cash)</t>
  </si>
  <si>
    <t>Operating (CFO)</t>
  </si>
  <si>
    <t>- Δ Accounts Receivable (AR)</t>
  </si>
  <si>
    <t>Investing (CFI)</t>
  </si>
  <si>
    <t>D&amp;A (add-back)</t>
  </si>
  <si>
    <t>- Δ Inventories</t>
  </si>
  <si>
    <t>Financing (CFF)</t>
  </si>
  <si>
    <t>-ΔAR</t>
  </si>
  <si>
    <t>+ Δ Accounts Payable (AP)</t>
  </si>
  <si>
    <t>Net Change in Cash</t>
  </si>
  <si>
    <t>-ΔInventories</t>
  </si>
  <si>
    <t>Net Cash from Operating Activities (CFO)</t>
  </si>
  <si>
    <t>+ΔAP</t>
  </si>
  <si>
    <t>- Capital Expenditures (CapEx)</t>
  </si>
  <si>
    <t>CFO (total)</t>
  </si>
  <si>
    <t>Net Cash from Investing Activities (CFI)</t>
  </si>
  <si>
    <t>+ Net Borrowing (Δ Debt)</t>
  </si>
  <si>
    <t>+ Share Issuance / (Buyback)</t>
  </si>
  <si>
    <t>- Dividends Paid</t>
  </si>
  <si>
    <t>Net Cash from Financing Activities (CFF)</t>
  </si>
  <si>
    <t>Ending Cash</t>
  </si>
  <si>
    <t>- Enter Δ (changes) as positive numbers for increases; formulas handle the cash sign.</t>
  </si>
  <si>
    <t>- Dividends Paid pulls from Ratios sheet: Dividend per Share × Shares Outstanding.</t>
  </si>
  <si>
    <t>- Ending Cash = Beginning Cash + Net Change in Cash.</t>
  </si>
  <si>
    <t>Free Cash Flows (FCFF &amp; FCFE)</t>
  </si>
  <si>
    <t>Assumptions &amp; Links</t>
  </si>
  <si>
    <t>Free Cash Flow Comparison</t>
  </si>
  <si>
    <t>FCFF</t>
  </si>
  <si>
    <t>FCFE (NI-based)</t>
  </si>
  <si>
    <t>FCFE (reconciled)</t>
  </si>
  <si>
    <t>Δ Net Working Capital (ΔNWC) = ΔAR + ΔInventory - ΔAP</t>
  </si>
  <si>
    <t>FCFF Calculation</t>
  </si>
  <si>
    <t>EBIT × (1 - Tax Rate)</t>
  </si>
  <si>
    <t>+ Depreciation &amp; Amortization</t>
  </si>
  <si>
    <t>- CapEx</t>
  </si>
  <si>
    <t>- ΔNWC</t>
  </si>
  <si>
    <t>FCFE Calculation</t>
  </si>
  <si>
    <t>+ Net Borrowing (ΔDebt)</t>
  </si>
  <si>
    <t>- Interest × (1 - Tax Rate)</t>
  </si>
  <si>
    <t>- ΔNWC uses ΔAR + ΔInventory − ΔAP (approximation). Positive ΔNWC reduces free cash flows.</t>
  </si>
  <si>
    <t>- FCFF = cash flow available to all capital providers; FCFE = to equity holders.</t>
  </si>
  <si>
    <t>- Tax Rate is pulled from Income Statement inputs; change it there to see effects.</t>
  </si>
  <si>
    <t>Common-Size P&amp;L (% of Sales)</t>
  </si>
  <si>
    <t>Line Item</t>
  </si>
  <si>
    <t>% of Sales</t>
  </si>
  <si>
    <t>Opex</t>
  </si>
  <si>
    <t>Opex (Selling+Admin+R&amp;D)</t>
  </si>
  <si>
    <t>Financial Dashboard – KPIs</t>
  </si>
  <si>
    <t>KPI</t>
  </si>
  <si>
    <t>Capital Structure</t>
  </si>
  <si>
    <t>EPS</t>
  </si>
  <si>
    <t>P/E</t>
  </si>
  <si>
    <t>Scenario Summary</t>
  </si>
  <si>
    <t>Cash Flow Composition</t>
  </si>
  <si>
    <t>Selected Scenario</t>
  </si>
  <si>
    <t>Go to Scenarios »</t>
  </si>
  <si>
    <t>Tip: Change the dropdown in Scenarios!B2 to Base/Best/Worst to update everything.</t>
  </si>
  <si>
    <t>Net Change</t>
  </si>
  <si>
    <t>COGS % of Sales</t>
  </si>
  <si>
    <t>Opex % of Sales (Sell+Admin+R&amp;D)</t>
  </si>
  <si>
    <t>EBITDA Margin</t>
  </si>
  <si>
    <t>Go to Sensitivity (Net Income) »</t>
  </si>
  <si>
    <t>Go to Sensitivity (FCFF) »</t>
  </si>
  <si>
    <t>Go to Tornado (FCFF) »</t>
  </si>
  <si>
    <t>FCFE</t>
  </si>
  <si>
    <t>Go to Tornado (Net Income) »</t>
  </si>
  <si>
    <t>Scenario Selector</t>
  </si>
  <si>
    <t>Scenario</t>
  </si>
  <si>
    <t>Base</t>
  </si>
  <si>
    <t>Parameter</t>
  </si>
  <si>
    <t>Best</t>
  </si>
  <si>
    <t>Worst</t>
  </si>
  <si>
    <t>Selected</t>
  </si>
  <si>
    <t>Scenario Comparison – Key Outputs</t>
  </si>
  <si>
    <t>Selling % of Sales</t>
  </si>
  <si>
    <t>Administrative % of Sales</t>
  </si>
  <si>
    <t>R&amp;D % of Sales</t>
  </si>
  <si>
    <t>D&amp;A % of Sales</t>
  </si>
  <si>
    <t>Interest Expense (abs)</t>
  </si>
  <si>
    <t>Δ AR % of Sales</t>
  </si>
  <si>
    <t>Δ Inventories % of Sales</t>
  </si>
  <si>
    <t>Δ AP % of COGS</t>
  </si>
  <si>
    <t>Selected Column (1=Base,2=Best,3=Worst)</t>
  </si>
  <si>
    <t>Sensitivity – Net Income vs Sales and COGS%</t>
  </si>
  <si>
    <t>Rows: Sales multiplier (vs Scen_Sales)</t>
  </si>
  <si>
    <t>Columns: COGS% delta (percentage points vs Scen_COGS_Pct)</t>
  </si>
  <si>
    <t>Sales x COGS%</t>
  </si>
  <si>
    <t>Sensitivity – FCFF vs Sales and CapEx</t>
  </si>
  <si>
    <t>Columns: CapEx multiplier (vs Scen_CapEx)</t>
  </si>
  <si>
    <t>Sales x CapEx</t>
  </si>
  <si>
    <t>Tornado Chart – FCFF One-Way Sensitivity</t>
  </si>
  <si>
    <t>Driver</t>
  </si>
  <si>
    <t>Low</t>
  </si>
  <si>
    <t>High</t>
  </si>
  <si>
    <t>Low Impact</t>
  </si>
  <si>
    <t>High Impact</t>
  </si>
  <si>
    <t>Base FCFF</t>
  </si>
  <si>
    <t>COGS %</t>
  </si>
  <si>
    <t>Opex % (Sell+Admin+R&amp;D)</t>
  </si>
  <si>
    <t>D&amp;A %</t>
  </si>
  <si>
    <t>CapEx</t>
  </si>
  <si>
    <t>Tornado Chart – Net Income One-Way Sensitivity</t>
  </si>
  <si>
    <t>Base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</si>
</sst>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EUR ]#,##0;\([$EUR ]#,##0\);\-"/>
    <numFmt numFmtId="165" formatCode="0.00;\(0.00\);\-"/>
    <numFmt numFmtId="166" formatCode="0.0%;\(0.0%\);\-"/>
    <numFmt numFmtId="167" formatCode="0.00\x;\(0.00&quot;x)&quot;;\-"/>
    <numFmt numFmtId="168" formatCode="0&quot; days&quot;"/>
    <numFmt numFmtId="169" formatCode="0.0%"/>
    <numFmt numFmtId="170" formatCode="[$EUR ]#,##0.00_-"/>
  </numFmts>
  <fonts count="11" x14ac:knownFonts="1">
    <font>
      <sz val="11"/>
      <color theme="1"/>
      <name val="Calibri"/>
      <family val="2"/>
      <charset val="1"/>
    </font>
    <font>
      <b/>
      <sz val="14"/>
      <name val="Calibri"/>
      <charset val="1"/>
    </font>
    <font>
      <b/>
      <sz val="12"/>
      <name val="Calibri"/>
      <charset val="1"/>
    </font>
    <font>
      <sz val="11"/>
      <name val="Calibri"/>
      <charset val="1"/>
    </font>
    <font>
      <b/>
      <sz val="11"/>
      <name val="Calibri"/>
      <charset val="1"/>
    </font>
    <font>
      <b/>
      <sz val="12"/>
      <name val="Cambria"/>
      <charset val="1"/>
    </font>
    <font>
      <b/>
      <sz val="11"/>
      <name val="Cambria"/>
      <charset val="1"/>
    </font>
    <font>
      <b/>
      <u/>
      <sz val="11"/>
      <color rgb="FF0000EE"/>
      <name val="Calibri"/>
      <charset val="1"/>
    </font>
    <font>
      <i/>
      <sz val="11"/>
      <name val="Calibri"/>
      <charset val="1"/>
    </font>
    <font>
      <sz val="10"/>
      <name val="Arial"/>
      <family val="2"/>
    </font>
    <font>
      <b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64" fontId="0" fillId="0" borderId="1" xfId="0" applyNumberFormat="1" applyBorder="1"/>
    <xf numFmtId="0" fontId="4" fillId="0" borderId="1" xfId="0" applyFont="1" applyBorder="1"/>
    <xf numFmtId="164" fontId="0" fillId="0" borderId="0" xfId="0" applyNumberFormat="1"/>
    <xf numFmtId="3" fontId="0" fillId="0" borderId="0" xfId="0" applyNumberForma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165" fontId="0" fillId="0" borderId="1" xfId="0" applyNumberFormat="1" applyBorder="1"/>
    <xf numFmtId="0" fontId="6" fillId="0" borderId="0" xfId="0" applyFont="1"/>
    <xf numFmtId="166" fontId="0" fillId="0" borderId="1" xfId="0" applyNumberFormat="1" applyBorder="1"/>
    <xf numFmtId="2" fontId="0" fillId="0" borderId="0" xfId="0" applyNumberFormat="1"/>
    <xf numFmtId="167" fontId="0" fillId="0" borderId="1" xfId="0" applyNumberFormat="1" applyBorder="1"/>
    <xf numFmtId="165" fontId="0" fillId="0" borderId="0" xfId="0" applyNumberFormat="1"/>
    <xf numFmtId="168" fontId="0" fillId="0" borderId="1" xfId="0" applyNumberFormat="1" applyBorder="1"/>
    <xf numFmtId="166" fontId="0" fillId="0" borderId="0" xfId="0" applyNumberFormat="1"/>
    <xf numFmtId="0" fontId="2" fillId="0" borderId="0" xfId="0" applyFont="1" applyAlignment="1">
      <alignment horizontal="center"/>
    </xf>
    <xf numFmtId="169" fontId="0" fillId="0" borderId="1" xfId="0" applyNumberFormat="1" applyBorder="1"/>
    <xf numFmtId="170" fontId="0" fillId="0" borderId="1" xfId="0" applyNumberFormat="1" applyBorder="1"/>
    <xf numFmtId="170" fontId="0" fillId="0" borderId="0" xfId="0" applyNumberFormat="1"/>
    <xf numFmtId="0" fontId="4" fillId="0" borderId="0" xfId="0" applyFont="1"/>
    <xf numFmtId="169" fontId="0" fillId="0" borderId="0" xfId="0" applyNumberFormat="1"/>
    <xf numFmtId="0" fontId="7" fillId="0" borderId="0" xfId="0" applyFont="1"/>
    <xf numFmtId="0" fontId="8" fillId="0" borderId="0" xfId="0" applyFont="1"/>
    <xf numFmtId="0" fontId="0" fillId="0" borderId="2" xfId="0" applyBorder="1"/>
    <xf numFmtId="0" fontId="10" fillId="0" borderId="2" xfId="0" applyFont="1" applyBorder="1"/>
    <xf numFmtId="164" fontId="0" fillId="0" borderId="2" xfId="0" applyNumberFormat="1" applyBorder="1"/>
    <xf numFmtId="166" fontId="0" fillId="0" borderId="2" xfId="0" applyNumberFormat="1" applyBorder="1"/>
    <xf numFmtId="169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9F423F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8AAA9"/>
      <rgbColor rgb="FFCC99FF"/>
      <rgbColor rgb="FFFFCC99"/>
      <rgbColor rgb="FF4F81BD"/>
      <rgbColor rgb="FF4BACC6"/>
      <rgbColor rgb="FF9BBB59"/>
      <rgbColor rgb="FFFFCC00"/>
      <rgbColor rgb="FFF79646"/>
      <rgbColor rgb="FFFF6600"/>
      <rgbColor rgb="FF8064A2"/>
      <rgbColor rgb="FFB3B3B3"/>
      <rgbColor rgb="FF003366"/>
      <rgbColor rgb="FF339966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Key Financial Ratios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Ratios!$F$33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Ratios!$E$34:$E$38</c:f>
              <c:strCache>
                <c:ptCount val="5"/>
                <c:pt idx="0">
                  <c:v>Current Ratio</c:v>
                </c:pt>
                <c:pt idx="1">
                  <c:v>Quick Ratio</c:v>
                </c:pt>
                <c:pt idx="2">
                  <c:v>Debt/Equity</c:v>
                </c:pt>
                <c:pt idx="3">
                  <c:v>Interest Coverage</c:v>
                </c:pt>
                <c:pt idx="4">
                  <c:v>Asset Turnover</c:v>
                </c:pt>
              </c:strCache>
            </c:strRef>
          </c:cat>
          <c:val>
            <c:numRef>
              <c:f>Ratios!$F$34:$F$38</c:f>
              <c:numCache>
                <c:formatCode>0.00</c:formatCode>
                <c:ptCount val="5"/>
                <c:pt idx="0">
                  <c:v>2</c:v>
                </c:pt>
                <c:pt idx="1">
                  <c:v>1.4</c:v>
                </c:pt>
                <c:pt idx="2">
                  <c:v>1</c:v>
                </c:pt>
                <c:pt idx="3">
                  <c:v>6.9960000000000004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8-4278-B362-582271DF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08354"/>
        <c:axId val="21996618"/>
      </c:barChart>
      <c:catAx>
        <c:axId val="2790835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996618"/>
        <c:crosses val="autoZero"/>
        <c:auto val="1"/>
        <c:lblAlgn val="ctr"/>
        <c:lblOffset val="100"/>
        <c:noMultiLvlLbl val="0"/>
      </c:catAx>
      <c:valAx>
        <c:axId val="21996618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90835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FCFF vs FCFE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'FCFF &amp; FCFE'!$E$6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'FCFF &amp; FCFE'!$D$7:$D$9</c:f>
              <c:strCache>
                <c:ptCount val="3"/>
                <c:pt idx="0">
                  <c:v>FCFF</c:v>
                </c:pt>
                <c:pt idx="1">
                  <c:v>FCFE (NI-based)</c:v>
                </c:pt>
                <c:pt idx="2">
                  <c:v>FCFE (reconciled)</c:v>
                </c:pt>
              </c:strCache>
            </c:strRef>
          </c:cat>
          <c:val>
            <c:numRef>
              <c:f>'FCFF &amp; FCFE'!$E$7:$E$9</c:f>
              <c:numCache>
                <c:formatCode>[$EUR ]#,##0;\([$EUR ]#,##0\);\-</c:formatCode>
                <c:ptCount val="3"/>
                <c:pt idx="0">
                  <c:v>-36659.831999999995</c:v>
                </c:pt>
                <c:pt idx="1">
                  <c:v>-39992.831999999995</c:v>
                </c:pt>
                <c:pt idx="2">
                  <c:v>-39992.831999999995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A-467F-831B-4DC643318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5830"/>
        <c:axId val="35146391"/>
      </c:barChart>
      <c:catAx>
        <c:axId val="4107583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5146391"/>
        <c:crosses val="autoZero"/>
        <c:auto val="1"/>
        <c:lblAlgn val="ctr"/>
        <c:lblOffset val="100"/>
        <c:noMultiLvlLbl val="0"/>
      </c:catAx>
      <c:valAx>
        <c:axId val="3514639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EUR ]#,##0;\([$EUR ]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107583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% of Sales (Selected Lines)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'Common-Size P&amp;L (Charts)'!$E$3</c:f>
              <c:strCache>
                <c:ptCount val="1"/>
                <c:pt idx="0">
                  <c:v>% of Sales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'Common-Size P&amp;L (Charts)'!$D$4:$D$8</c:f>
              <c:strCache>
                <c:ptCount val="5"/>
                <c:pt idx="0">
                  <c:v>Gross Profit</c:v>
                </c:pt>
                <c:pt idx="1">
                  <c:v>Opex</c:v>
                </c:pt>
                <c:pt idx="2">
                  <c:v>EBITDA</c:v>
                </c:pt>
                <c:pt idx="3">
                  <c:v>EBIT</c:v>
                </c:pt>
                <c:pt idx="4">
                  <c:v>Net Income</c:v>
                </c:pt>
              </c:strCache>
            </c:strRef>
          </c:cat>
          <c:val>
            <c:numRef>
              <c:f>'Common-Size P&amp;L (Charts)'!$E$4:$E$8</c:f>
              <c:numCache>
                <c:formatCode>0.0%;\(0.0%\);\-</c:formatCode>
                <c:ptCount val="5"/>
                <c:pt idx="0">
                  <c:v>0.33329999999999999</c:v>
                </c:pt>
                <c:pt idx="1">
                  <c:v>0.2</c:v>
                </c:pt>
                <c:pt idx="2">
                  <c:v>0.1333</c:v>
                </c:pt>
                <c:pt idx="3">
                  <c:v>0.1166</c:v>
                </c:pt>
                <c:pt idx="4">
                  <c:v>8.3274446666666668E-2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7-4B0D-9C92-2DB5EB19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84038"/>
        <c:axId val="44346902"/>
      </c:barChart>
      <c:catAx>
        <c:axId val="274840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Line Items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4346902"/>
        <c:crosses val="autoZero"/>
        <c:auto val="1"/>
        <c:lblAlgn val="ctr"/>
        <c:lblOffset val="100"/>
        <c:noMultiLvlLbl val="0"/>
      </c:catAx>
      <c:valAx>
        <c:axId val="4434690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% of Sales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48403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Liquidity Ratios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Dashboard!$E$3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Dashboard!$D$4:$D$5</c:f>
              <c:strCache>
                <c:ptCount val="2"/>
                <c:pt idx="0">
                  <c:v>Current Ratio</c:v>
                </c:pt>
                <c:pt idx="1">
                  <c:v>Quick Ratio</c:v>
                </c:pt>
              </c:strCache>
            </c:strRef>
          </c:cat>
          <c:val>
            <c:numRef>
              <c:f>Dashboard!$E$4:$E$5</c:f>
              <c:numCache>
                <c:formatCode>0.00;\(0.00\);\-</c:formatCode>
                <c:ptCount val="2"/>
                <c:pt idx="0">
                  <c:v>2</c:v>
                </c:pt>
                <c:pt idx="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9-4938-9C25-85B9140AA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16635"/>
        <c:axId val="34243811"/>
      </c:barChart>
      <c:catAx>
        <c:axId val="979166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4243811"/>
        <c:crosses val="autoZero"/>
        <c:auto val="1"/>
        <c:lblAlgn val="ctr"/>
        <c:lblOffset val="100"/>
        <c:noMultiLvlLbl val="0"/>
      </c:catAx>
      <c:valAx>
        <c:axId val="3424381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791663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Profitability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Dashboard!$E$8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Dashboard!$D$9:$D$11</c:f>
              <c:strCache>
                <c:ptCount val="3"/>
                <c:pt idx="0">
                  <c:v>ROE</c:v>
                </c:pt>
                <c:pt idx="1">
                  <c:v>ROA</c:v>
                </c:pt>
                <c:pt idx="2">
                  <c:v>Net Margin</c:v>
                </c:pt>
              </c:strCache>
            </c:strRef>
          </c:cat>
          <c:val>
            <c:numRef>
              <c:f>Dashboard!$E$9:$E$11</c:f>
              <c:numCache>
                <c:formatCode>0.0%</c:formatCode>
                <c:ptCount val="3"/>
                <c:pt idx="0">
                  <c:v>0.19985867200000001</c:v>
                </c:pt>
                <c:pt idx="1">
                  <c:v>9.9929336000000007E-2</c:v>
                </c:pt>
                <c:pt idx="2">
                  <c:v>8.3274446666666668E-2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F-42EF-BF92-CD741415C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2919"/>
        <c:axId val="86360087"/>
      </c:barChart>
      <c:catAx>
        <c:axId val="2069291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6360087"/>
        <c:crosses val="autoZero"/>
        <c:auto val="1"/>
        <c:lblAlgn val="ctr"/>
        <c:lblOffset val="100"/>
        <c:noMultiLvlLbl val="0"/>
      </c:catAx>
      <c:valAx>
        <c:axId val="863600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6929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Capital Structure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Dashboard!$N$4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089-4691-89E1-6E58D334EC4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7089-4691-89E1-6E58D334EC43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7089-4691-89E1-6E58D334EC43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7089-4691-89E1-6E58D334EC43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7089-4691-89E1-6E58D334EC43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7089-4691-89E1-6E58D334EC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Dashboard!$M$5:$M$7</c:f>
              <c:strCache>
                <c:ptCount val="3"/>
                <c:pt idx="0">
                  <c:v>Current Liabilities</c:v>
                </c:pt>
                <c:pt idx="1">
                  <c:v>Long-term Liabilities</c:v>
                </c:pt>
                <c:pt idx="2">
                  <c:v>Equity</c:v>
                </c:pt>
              </c:strCache>
            </c:strRef>
          </c:cat>
          <c:val>
            <c:numRef>
              <c:f>Dashboard!$N$5:$N$7</c:f>
              <c:numCache>
                <c:formatCode>[$EUR ]#,##0;\([$EUR ]#,##0\);\-</c:formatCode>
                <c:ptCount val="3"/>
                <c:pt idx="0">
                  <c:v>100000</c:v>
                </c:pt>
                <c:pt idx="1">
                  <c:v>150000</c:v>
                </c:pt>
                <c:pt idx="2">
                  <c:v>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89-4691-89E1-6E58D334E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Cash Flow Composition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Dashboard!$N$21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Dashboard!$M$22:$M$25</c:f>
              <c:strCache>
                <c:ptCount val="4"/>
                <c:pt idx="0">
                  <c:v>Operating (CFO)</c:v>
                </c:pt>
                <c:pt idx="1">
                  <c:v>Investing (CFI)</c:v>
                </c:pt>
                <c:pt idx="2">
                  <c:v>Financing (CFF)</c:v>
                </c:pt>
                <c:pt idx="3">
                  <c:v>Net Change</c:v>
                </c:pt>
              </c:strCache>
            </c:strRef>
          </c:cat>
          <c:val>
            <c:numRef>
              <c:f>Dashboard!$N$22:$N$25</c:f>
              <c:numCache>
                <c:formatCode>[$EUR ]#,##0;\([$EUR ]#,##0\);\-</c:formatCode>
                <c:ptCount val="4"/>
                <c:pt idx="0">
                  <c:v>-29992.831999999995</c:v>
                </c:pt>
                <c:pt idx="1">
                  <c:v>-15000</c:v>
                </c:pt>
                <c:pt idx="2">
                  <c:v>-15000</c:v>
                </c:pt>
                <c:pt idx="3">
                  <c:v>-59992.831999999995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A-4676-B174-5034D0C32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58578"/>
        <c:axId val="31903712"/>
      </c:barChart>
      <c:catAx>
        <c:axId val="991585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903712"/>
        <c:crosses val="autoZero"/>
        <c:auto val="1"/>
        <c:lblAlgn val="ctr"/>
        <c:lblOffset val="100"/>
        <c:noMultiLvlLbl val="0"/>
      </c:catAx>
      <c:valAx>
        <c:axId val="3190371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EUR ]#,##0;\([$EUR ]#,##0\);\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915857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Scenario Comparison: Base vs Best vs Worst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Scenarios!$H$4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9F423F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Scenarios!$G$5:$G$8</c:f>
              <c:strCache>
                <c:ptCount val="4"/>
                <c:pt idx="0">
                  <c:v>Sales</c:v>
                </c:pt>
                <c:pt idx="1">
                  <c:v>EBIT</c:v>
                </c:pt>
                <c:pt idx="2">
                  <c:v>Net Income</c:v>
                </c:pt>
                <c:pt idx="3">
                  <c:v>FCFF</c:v>
                </c:pt>
              </c:strCache>
            </c:strRef>
          </c:cat>
          <c:val>
            <c:numRef>
              <c:f>Scenarios!$H$5:$H$8</c:f>
              <c:numCache>
                <c:formatCode>[$EUR ]#,##0;\([$EUR ]#,##0\);\-</c:formatCode>
                <c:ptCount val="4"/>
                <c:pt idx="0">
                  <c:v>600000</c:v>
                </c:pt>
                <c:pt idx="1">
                  <c:v>69960.000000000029</c:v>
                </c:pt>
                <c:pt idx="2">
                  <c:v>49964.668000000027</c:v>
                </c:pt>
                <c:pt idx="3">
                  <c:v>-36659.831999999966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F-42FA-84CF-270AE5188E07}"/>
            </c:ext>
          </c:extLst>
        </c:ser>
        <c:ser>
          <c:idx val="1"/>
          <c:order val="1"/>
          <c:tx>
            <c:strRef>
              <c:f>Scenarios!$I$4</c:f>
              <c:strCache>
                <c:ptCount val="1"/>
                <c:pt idx="0">
                  <c:v>Best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Scenarios!$G$5:$G$8</c:f>
              <c:strCache>
                <c:ptCount val="4"/>
                <c:pt idx="0">
                  <c:v>Sales</c:v>
                </c:pt>
                <c:pt idx="1">
                  <c:v>EBIT</c:v>
                </c:pt>
                <c:pt idx="2">
                  <c:v>Net Income</c:v>
                </c:pt>
                <c:pt idx="3">
                  <c:v>FCFF</c:v>
                </c:pt>
              </c:strCache>
            </c:strRef>
          </c:cat>
          <c:val>
            <c:numRef>
              <c:f>Scenarios!$I$5:$I$8</c:f>
              <c:numCache>
                <c:formatCode>[$EUR ]#,##0;\([$EUR ]#,##0\);\-</c:formatCode>
                <c:ptCount val="4"/>
                <c:pt idx="0">
                  <c:v>660000</c:v>
                </c:pt>
                <c:pt idx="1">
                  <c:v>108900</c:v>
                </c:pt>
                <c:pt idx="2">
                  <c:v>83916</c:v>
                </c:pt>
                <c:pt idx="3">
                  <c:v>21712.000000000007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F-42FA-84CF-270AE5188E07}"/>
            </c:ext>
          </c:extLst>
        </c:ser>
        <c:ser>
          <c:idx val="2"/>
          <c:order val="2"/>
          <c:tx>
            <c:strRef>
              <c:f>Scenarios!$J$4</c:f>
              <c:strCache>
                <c:ptCount val="1"/>
                <c:pt idx="0">
                  <c:v>Worst</c:v>
                </c:pt>
              </c:strCache>
            </c:strRef>
          </c:tx>
          <c:spPr>
            <a:solidFill>
              <a:srgbClr val="D8AAA9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Scenarios!$G$5:$G$8</c:f>
              <c:strCache>
                <c:ptCount val="4"/>
                <c:pt idx="0">
                  <c:v>Sales</c:v>
                </c:pt>
                <c:pt idx="1">
                  <c:v>EBIT</c:v>
                </c:pt>
                <c:pt idx="2">
                  <c:v>Net Income</c:v>
                </c:pt>
                <c:pt idx="3">
                  <c:v>FCFF</c:v>
                </c:pt>
              </c:strCache>
            </c:strRef>
          </c:cat>
          <c:val>
            <c:numRef>
              <c:f>Scenarios!$J$5:$J$8</c:f>
              <c:numCache>
                <c:formatCode>[$EUR ]#,##0;\([$EUR ]#,##0\);\-</c:formatCode>
                <c:ptCount val="4"/>
                <c:pt idx="0">
                  <c:v>540000</c:v>
                </c:pt>
                <c:pt idx="1">
                  <c:v>29700.000000000029</c:v>
                </c:pt>
                <c:pt idx="2">
                  <c:v>14960.000000000024</c:v>
                </c:pt>
                <c:pt idx="3">
                  <c:v>-87059.999999999971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F-42FA-84CF-270AE518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22630"/>
        <c:axId val="52917625"/>
      </c:barChart>
      <c:catAx>
        <c:axId val="4232263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2917625"/>
        <c:crosses val="autoZero"/>
        <c:auto val="1"/>
        <c:lblAlgn val="ctr"/>
        <c:lblOffset val="100"/>
        <c:noMultiLvlLbl val="0"/>
      </c:catAx>
      <c:valAx>
        <c:axId val="529176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EUR ]#,##0;\([$EUR ]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232263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Net Income Sensitivity – Sales Multiplier × COGS Shift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'Sensitivity (Net Income)'!$B$6</c:f>
              <c:strCache>
                <c:ptCount val="1"/>
                <c:pt idx="0">
                  <c:v>-5.0%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(Net Income)'!$A$7:$A$11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(Net Income)'!$B$7:$B$11</c:f>
              <c:numCache>
                <c:formatCode>[$EUR ]#,##0.00_-</c:formatCode>
                <c:ptCount val="5"/>
                <c:pt idx="0">
                  <c:v>66634.001200000057</c:v>
                </c:pt>
                <c:pt idx="1">
                  <c:v>70798.834600000046</c:v>
                </c:pt>
                <c:pt idx="2">
                  <c:v>74963.668000000049</c:v>
                </c:pt>
                <c:pt idx="3">
                  <c:v>79128.501400000052</c:v>
                </c:pt>
                <c:pt idx="4">
                  <c:v>83293.334800000055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B60-459D-8A60-9AE4E7BFD1B4}"/>
            </c:ext>
          </c:extLst>
        </c:ser>
        <c:ser>
          <c:idx val="1"/>
          <c:order val="1"/>
          <c:tx>
            <c:strRef>
              <c:f>'Sensitivity (Net Income)'!$C$6</c:f>
              <c:strCache>
                <c:ptCount val="1"/>
                <c:pt idx="0">
                  <c:v>-2.5%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(Net Income)'!$A$7:$A$11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(Net Income)'!$C$7:$C$11</c:f>
              <c:numCache>
                <c:formatCode>[$EUR ]#,##0.00_-</c:formatCode>
                <c:ptCount val="5"/>
                <c:pt idx="0">
                  <c:v>55384.451200000025</c:v>
                </c:pt>
                <c:pt idx="1">
                  <c:v>58924.309600000022</c:v>
                </c:pt>
                <c:pt idx="2">
                  <c:v>62464.168000000027</c:v>
                </c:pt>
                <c:pt idx="3">
                  <c:v>66004.026400000032</c:v>
                </c:pt>
                <c:pt idx="4">
                  <c:v>69543.884800000029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B60-459D-8A60-9AE4E7BFD1B4}"/>
            </c:ext>
          </c:extLst>
        </c:ser>
        <c:ser>
          <c:idx val="2"/>
          <c:order val="2"/>
          <c:tx>
            <c:strRef>
              <c:f>'Sensitivity (Net Income)'!$D$6</c:f>
              <c:strCache>
                <c:ptCount val="1"/>
                <c:pt idx="0">
                  <c:v>0.0%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(Net Income)'!$A$7:$A$11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(Net Income)'!$D$7:$D$11</c:f>
              <c:numCache>
                <c:formatCode>[$EUR ]#,##0.00_-</c:formatCode>
                <c:ptCount val="5"/>
                <c:pt idx="0">
                  <c:v>44134.901200000022</c:v>
                </c:pt>
                <c:pt idx="1">
                  <c:v>47049.784600000028</c:v>
                </c:pt>
                <c:pt idx="2">
                  <c:v>49964.668000000027</c:v>
                </c:pt>
                <c:pt idx="3">
                  <c:v>52879.551400000026</c:v>
                </c:pt>
                <c:pt idx="4">
                  <c:v>55794.434800000025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B60-459D-8A60-9AE4E7BFD1B4}"/>
            </c:ext>
          </c:extLst>
        </c:ser>
        <c:ser>
          <c:idx val="3"/>
          <c:order val="3"/>
          <c:tx>
            <c:strRef>
              <c:f>'Sensitivity (Net Income)'!$E$6</c:f>
              <c:strCache>
                <c:ptCount val="1"/>
                <c:pt idx="0">
                  <c:v>2.5%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(Net Income)'!$A$7:$A$11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(Net Income)'!$E$7:$E$11</c:f>
              <c:numCache>
                <c:formatCode>[$EUR ]#,##0.00_-</c:formatCode>
                <c:ptCount val="5"/>
                <c:pt idx="0">
                  <c:v>32885.351199999997</c:v>
                </c:pt>
                <c:pt idx="1">
                  <c:v>35175.259599999998</c:v>
                </c:pt>
                <c:pt idx="2">
                  <c:v>37465.167999999998</c:v>
                </c:pt>
                <c:pt idx="3">
                  <c:v>39755.076399999998</c:v>
                </c:pt>
                <c:pt idx="4">
                  <c:v>42044.984799999998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B60-459D-8A60-9AE4E7BFD1B4}"/>
            </c:ext>
          </c:extLst>
        </c:ser>
        <c:ser>
          <c:idx val="4"/>
          <c:order val="4"/>
          <c:tx>
            <c:strRef>
              <c:f>'Sensitivity (Net Income)'!$F$6</c:f>
              <c:strCache>
                <c:ptCount val="1"/>
                <c:pt idx="0">
                  <c:v>5.0%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(Net Income)'!$A$7:$A$11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(Net Income)'!$F$7:$F$11</c:f>
              <c:numCache>
                <c:formatCode>[$EUR ]#,##0.00_-</c:formatCode>
                <c:ptCount val="5"/>
                <c:pt idx="0">
                  <c:v>21635.801200000002</c:v>
                </c:pt>
                <c:pt idx="1">
                  <c:v>23300.7346</c:v>
                </c:pt>
                <c:pt idx="2">
                  <c:v>24965.668000000001</c:v>
                </c:pt>
                <c:pt idx="3">
                  <c:v>26630.6014</c:v>
                </c:pt>
                <c:pt idx="4">
                  <c:v>28295.534800000001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B60-459D-8A60-9AE4E7BFD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8950899"/>
        <c:axId val="71627905"/>
      </c:lineChart>
      <c:catAx>
        <c:axId val="789508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Sales Multiplier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1627905"/>
        <c:crosses val="autoZero"/>
        <c:auto val="1"/>
        <c:lblAlgn val="ctr"/>
        <c:lblOffset val="100"/>
        <c:noMultiLvlLbl val="0"/>
      </c:catAx>
      <c:valAx>
        <c:axId val="7162790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Net Income (EUR)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EUR ]#,##0.00_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895089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FCFF Sensitivity – Sales Multiplier × CapEx Multiplier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'Sensitivity (FCFF)'!$B$6</c:f>
              <c:strCache>
                <c:ptCount val="1"/>
                <c:pt idx="0">
                  <c:v>80.0%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(FCFF)'!$A$7:$A$11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(FCFF)'!$B$7:$B$11</c:f>
              <c:numCache>
                <c:formatCode>[$EUR ]#,##0.00_-</c:formatCode>
                <c:ptCount val="5"/>
                <c:pt idx="0">
                  <c:v>-40491.598799999971</c:v>
                </c:pt>
                <c:pt idx="1">
                  <c:v>-37075.715399999972</c:v>
                </c:pt>
                <c:pt idx="2">
                  <c:v>-33659.831999999966</c:v>
                </c:pt>
                <c:pt idx="3">
                  <c:v>-30243.948599999974</c:v>
                </c:pt>
                <c:pt idx="4">
                  <c:v>-26828.065199999983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0B-4B27-AD5D-AECA8899A5BD}"/>
            </c:ext>
          </c:extLst>
        </c:ser>
        <c:ser>
          <c:idx val="1"/>
          <c:order val="1"/>
          <c:tx>
            <c:strRef>
              <c:f>'Sensitivity (FCFF)'!$C$6</c:f>
              <c:strCache>
                <c:ptCount val="1"/>
                <c:pt idx="0">
                  <c:v>90.0%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(FCFF)'!$A$7:$A$11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(FCFF)'!$C$7:$C$11</c:f>
              <c:numCache>
                <c:formatCode>[$EUR ]#,##0.00_-</c:formatCode>
                <c:ptCount val="5"/>
                <c:pt idx="0">
                  <c:v>-41991.598799999971</c:v>
                </c:pt>
                <c:pt idx="1">
                  <c:v>-38575.715399999972</c:v>
                </c:pt>
                <c:pt idx="2">
                  <c:v>-35159.831999999966</c:v>
                </c:pt>
                <c:pt idx="3">
                  <c:v>-31743.948599999974</c:v>
                </c:pt>
                <c:pt idx="4">
                  <c:v>-28328.065199999983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20B-4B27-AD5D-AECA8899A5BD}"/>
            </c:ext>
          </c:extLst>
        </c:ser>
        <c:ser>
          <c:idx val="2"/>
          <c:order val="2"/>
          <c:tx>
            <c:strRef>
              <c:f>'Sensitivity (FCFF)'!$D$6</c:f>
              <c:strCache>
                <c:ptCount val="1"/>
                <c:pt idx="0">
                  <c:v>100.0%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(FCFF)'!$A$7:$A$11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(FCFF)'!$D$7:$D$11</c:f>
              <c:numCache>
                <c:formatCode>[$EUR ]#,##0.00_-</c:formatCode>
                <c:ptCount val="5"/>
                <c:pt idx="0">
                  <c:v>-43491.598799999971</c:v>
                </c:pt>
                <c:pt idx="1">
                  <c:v>-40075.715399999972</c:v>
                </c:pt>
                <c:pt idx="2">
                  <c:v>-36659.831999999966</c:v>
                </c:pt>
                <c:pt idx="3">
                  <c:v>-33243.948599999974</c:v>
                </c:pt>
                <c:pt idx="4">
                  <c:v>-29828.065199999983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20B-4B27-AD5D-AECA8899A5BD}"/>
            </c:ext>
          </c:extLst>
        </c:ser>
        <c:ser>
          <c:idx val="3"/>
          <c:order val="3"/>
          <c:tx>
            <c:strRef>
              <c:f>'Sensitivity (FCFF)'!$E$6</c:f>
              <c:strCache>
                <c:ptCount val="1"/>
                <c:pt idx="0">
                  <c:v>110.0%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(FCFF)'!$A$7:$A$11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(FCFF)'!$E$7:$E$11</c:f>
              <c:numCache>
                <c:formatCode>[$EUR ]#,##0.00_-</c:formatCode>
                <c:ptCount val="5"/>
                <c:pt idx="0">
                  <c:v>-44991.598799999971</c:v>
                </c:pt>
                <c:pt idx="1">
                  <c:v>-41575.715399999972</c:v>
                </c:pt>
                <c:pt idx="2">
                  <c:v>-38159.831999999966</c:v>
                </c:pt>
                <c:pt idx="3">
                  <c:v>-34743.948599999974</c:v>
                </c:pt>
                <c:pt idx="4">
                  <c:v>-31328.065199999983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20B-4B27-AD5D-AECA8899A5BD}"/>
            </c:ext>
          </c:extLst>
        </c:ser>
        <c:ser>
          <c:idx val="4"/>
          <c:order val="4"/>
          <c:tx>
            <c:strRef>
              <c:f>'Sensitivity (FCFF)'!$F$6</c:f>
              <c:strCache>
                <c:ptCount val="1"/>
                <c:pt idx="0">
                  <c:v>120.0%</c:v>
                </c:pt>
              </c:strCache>
            </c:strRef>
          </c:tx>
          <c:spPr>
            <a:ln w="0">
              <a:solidFill>
                <a:srgbClr val="FFFF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'Sensitivity (FCFF)'!$A$7:$A$11</c:f>
              <c:numCache>
                <c:formatCode>0.0%</c:formatCode>
                <c:ptCount val="5"/>
                <c:pt idx="0">
                  <c:v>0.9</c:v>
                </c:pt>
                <c:pt idx="1">
                  <c:v>0.95</c:v>
                </c:pt>
                <c:pt idx="2">
                  <c:v>1</c:v>
                </c:pt>
                <c:pt idx="3">
                  <c:v>1.05</c:v>
                </c:pt>
                <c:pt idx="4">
                  <c:v>1.1000000000000001</c:v>
                </c:pt>
              </c:numCache>
            </c:numRef>
          </c:cat>
          <c:val>
            <c:numRef>
              <c:f>'Sensitivity (FCFF)'!$F$7:$F$11</c:f>
              <c:numCache>
                <c:formatCode>[$EUR ]#,##0.00_-</c:formatCode>
                <c:ptCount val="5"/>
                <c:pt idx="0">
                  <c:v>-46491.598799999971</c:v>
                </c:pt>
                <c:pt idx="1">
                  <c:v>-43075.715399999972</c:v>
                </c:pt>
                <c:pt idx="2">
                  <c:v>-39659.831999999966</c:v>
                </c:pt>
                <c:pt idx="3">
                  <c:v>-36243.948599999974</c:v>
                </c:pt>
                <c:pt idx="4">
                  <c:v>-32828.065199999983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20B-4B27-AD5D-AECA8899A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1954519"/>
        <c:axId val="23241356"/>
      </c:lineChart>
      <c:catAx>
        <c:axId val="719545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Sales Multiplier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3241356"/>
        <c:crosses val="autoZero"/>
        <c:auto val="1"/>
        <c:lblAlgn val="ctr"/>
        <c:lblOffset val="100"/>
        <c:noMultiLvlLbl val="0"/>
      </c:catAx>
      <c:valAx>
        <c:axId val="2324135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FCFF (EUR)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EUR ]#,##0.00_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19545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FCFF Sensitivity (Low vs High)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0</c:f>
              <c:numCache>
                <c:formatCode>General</c:formatCode>
                <c:ptCount val="7"/>
                <c:pt idx="0">
                  <c:v>-6865.0987999999697</c:v>
                </c:pt>
                <c:pt idx="1">
                  <c:v>9966.2680000000291</c:v>
                </c:pt>
                <c:pt idx="2">
                  <c:v>4966.4680000000199</c:v>
                </c:pt>
                <c:pt idx="3">
                  <c:v>-533.43199999997205</c:v>
                </c:pt>
                <c:pt idx="4">
                  <c:v>-6865.0987999999697</c:v>
                </c:pt>
                <c:pt idx="5">
                  <c:v>1365.8680000000199</c:v>
                </c:pt>
                <c:pt idx="6">
                  <c:v>-5365.0987999999697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0</c15:sqref>
                        </c15:formulaRef>
                      </c:ext>
                    </c:extLst>
                    <c:strCache>
                      <c:ptCount val="1"/>
                      <c:pt idx="0">
                        <c:v>Low Impact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7"/>
                      <c:pt idx="0">
                        <c:v>Sales</c:v>
                      </c:pt>
                      <c:pt idx="1">
                        <c:v>COGS %</c:v>
                      </c:pt>
                      <c:pt idx="2">
                        <c:v>Opex % (Sell+Admin+R&amp;D)</c:v>
                      </c:pt>
                      <c:pt idx="3">
                        <c:v>D&amp;A %</c:v>
                      </c:pt>
                      <c:pt idx="4">
                        <c:v>Interest</c:v>
                      </c:pt>
                      <c:pt idx="5">
                        <c:v>Tax Rate</c:v>
                      </c:pt>
                      <c:pt idx="6">
                        <c:v>CapEx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D0D-45F7-9466-901E23B73E78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1</c:f>
              <c:numCache>
                <c:formatCode>General</c:formatCode>
                <c:ptCount val="7"/>
                <c:pt idx="0">
                  <c:v>6798.43480000002</c:v>
                </c:pt>
                <c:pt idx="1">
                  <c:v>-10032.932000000001</c:v>
                </c:pt>
                <c:pt idx="2">
                  <c:v>-5033.1319999999796</c:v>
                </c:pt>
                <c:pt idx="3">
                  <c:v>466.76800000002601</c:v>
                </c:pt>
                <c:pt idx="4">
                  <c:v>-33.331999999965802</c:v>
                </c:pt>
                <c:pt idx="5">
                  <c:v>-1432.5319999999799</c:v>
                </c:pt>
                <c:pt idx="6">
                  <c:v>-1533.3319999999701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1</c15:sqref>
                        </c15:formulaRef>
                      </c:ext>
                    </c:extLst>
                    <c:strCache>
                      <c:ptCount val="1"/>
                      <c:pt idx="0">
                        <c:v>High Impact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7"/>
                      <c:pt idx="0">
                        <c:v>Sales</c:v>
                      </c:pt>
                      <c:pt idx="1">
                        <c:v>COGS %</c:v>
                      </c:pt>
                      <c:pt idx="2">
                        <c:v>Opex % (Sell+Admin+R&amp;D)</c:v>
                      </c:pt>
                      <c:pt idx="3">
                        <c:v>D&amp;A %</c:v>
                      </c:pt>
                      <c:pt idx="4">
                        <c:v>Interest</c:v>
                      </c:pt>
                      <c:pt idx="5">
                        <c:v>Tax Rate</c:v>
                      </c:pt>
                      <c:pt idx="6">
                        <c:v>CapEx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D0D-45F7-9466-901E23B7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9927"/>
        <c:axId val="51149400"/>
      </c:barChart>
      <c:catAx>
        <c:axId val="5346992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1149400"/>
        <c:crosses val="autoZero"/>
        <c:auto val="1"/>
        <c:lblAlgn val="ctr"/>
        <c:lblOffset val="100"/>
        <c:noMultiLvlLbl val="0"/>
      </c:catAx>
      <c:valAx>
        <c:axId val="5114940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346992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Liquidity Ratios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Ratios!$F$49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Ratios!$E$50:$E$52</c:f>
              <c:strCache>
                <c:ptCount val="3"/>
                <c:pt idx="0">
                  <c:v>Current Ratio</c:v>
                </c:pt>
                <c:pt idx="1">
                  <c:v>Quick Ratio</c:v>
                </c:pt>
                <c:pt idx="2">
                  <c:v>Cash Ratio</c:v>
                </c:pt>
              </c:strCache>
            </c:strRef>
          </c:cat>
          <c:val>
            <c:numRef>
              <c:f>Ratios!$F$50:$F$52</c:f>
              <c:numCache>
                <c:formatCode>0.00;\(0.00\);\-</c:formatCode>
                <c:ptCount val="3"/>
                <c:pt idx="0">
                  <c:v>2</c:v>
                </c:pt>
                <c:pt idx="1">
                  <c:v>1.4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8-416C-9F90-67DB19C33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0677"/>
        <c:axId val="63255757"/>
      </c:barChart>
      <c:catAx>
        <c:axId val="226706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3255757"/>
        <c:crosses val="autoZero"/>
        <c:auto val="1"/>
        <c:lblAlgn val="ctr"/>
        <c:lblOffset val="100"/>
        <c:noMultiLvlLbl val="0"/>
      </c:catAx>
      <c:valAx>
        <c:axId val="6325575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;\(0.00\);\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267067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Net Income Sensitivity (Low vs High)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0</c:f>
              <c:numCache>
                <c:formatCode>General</c:formatCode>
                <c:ptCount val="6"/>
                <c:pt idx="0">
                  <c:v>-5829.7667999999803</c:v>
                </c:pt>
                <c:pt idx="1">
                  <c:v>9999.6000000000204</c:v>
                </c:pt>
                <c:pt idx="2">
                  <c:v>4999.8000000000202</c:v>
                </c:pt>
                <c:pt idx="3">
                  <c:v>2499.9000000000201</c:v>
                </c:pt>
                <c:pt idx="4">
                  <c:v>833.30000000001803</c:v>
                </c:pt>
                <c:pt idx="5">
                  <c:v>1199.2000000000201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0</c15:sqref>
                        </c15:formulaRef>
                      </c:ext>
                    </c:extLst>
                    <c:strCache>
                      <c:ptCount val="1"/>
                      <c:pt idx="0">
                        <c:v>Low Impact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6"/>
                      <c:pt idx="0">
                        <c:v>Sales</c:v>
                      </c:pt>
                      <c:pt idx="1">
                        <c:v>COGS %</c:v>
                      </c:pt>
                      <c:pt idx="2">
                        <c:v>Opex % (Sell+Admin+R&amp;D)</c:v>
                      </c:pt>
                      <c:pt idx="3">
                        <c:v>D&amp;A %</c:v>
                      </c:pt>
                      <c:pt idx="4">
                        <c:v>Interest</c:v>
                      </c:pt>
                      <c:pt idx="5">
                        <c:v>Tax Rate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EBD-4B8B-A9E7-075ADD3A971C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1</c:f>
              <c:numCache>
                <c:formatCode>General</c:formatCode>
                <c:ptCount val="6"/>
                <c:pt idx="0">
                  <c:v>5829.7668000000203</c:v>
                </c:pt>
                <c:pt idx="1">
                  <c:v>-9999.6000000000095</c:v>
                </c:pt>
                <c:pt idx="2">
                  <c:v>-4999.7999999999902</c:v>
                </c:pt>
                <c:pt idx="3">
                  <c:v>-2499.8999999999801</c:v>
                </c:pt>
                <c:pt idx="4">
                  <c:v>-833.29999999998097</c:v>
                </c:pt>
                <c:pt idx="5">
                  <c:v>-1199.19999999998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1</c15:sqref>
                        </c15:formulaRef>
                      </c:ext>
                    </c:extLst>
                    <c:strCache>
                      <c:ptCount val="1"/>
                      <c:pt idx="0">
                        <c:v>High Impact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6"/>
                      <c:pt idx="0">
                        <c:v>Sales</c:v>
                      </c:pt>
                      <c:pt idx="1">
                        <c:v>COGS %</c:v>
                      </c:pt>
                      <c:pt idx="2">
                        <c:v>Opex % (Sell+Admin+R&amp;D)</c:v>
                      </c:pt>
                      <c:pt idx="3">
                        <c:v>D&amp;A %</c:v>
                      </c:pt>
                      <c:pt idx="4">
                        <c:v>Interest</c:v>
                      </c:pt>
                      <c:pt idx="5">
                        <c:v>Tax Rate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EBD-4B8B-A9E7-075ADD3A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18838"/>
        <c:axId val="69554799"/>
      </c:barChart>
      <c:catAx>
        <c:axId val="9581883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9554799"/>
        <c:crosses val="autoZero"/>
        <c:auto val="1"/>
        <c:lblAlgn val="ctr"/>
        <c:lblOffset val="100"/>
        <c:noMultiLvlLbl val="0"/>
      </c:catAx>
      <c:valAx>
        <c:axId val="69554799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581883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Profitability Margins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Ratios!$F$66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Ratios!$E$67:$E$71</c:f>
              <c:strCache>
                <c:ptCount val="5"/>
                <c:pt idx="0">
                  <c:v>Gross Margin</c:v>
                </c:pt>
                <c:pt idx="1">
                  <c:v>Net Margin</c:v>
                </c:pt>
                <c:pt idx="2">
                  <c:v>ROE</c:v>
                </c:pt>
                <c:pt idx="3">
                  <c:v>ROA</c:v>
                </c:pt>
                <c:pt idx="4">
                  <c:v>ROI</c:v>
                </c:pt>
              </c:strCache>
            </c:strRef>
          </c:cat>
          <c:val>
            <c:numRef>
              <c:f>Ratios!$F$67:$F$71</c:f>
              <c:numCache>
                <c:formatCode>0.0%;\(0.0%\);\-</c:formatCode>
                <c:ptCount val="5"/>
                <c:pt idx="0">
                  <c:v>0.33329999999999999</c:v>
                </c:pt>
                <c:pt idx="1">
                  <c:v>8.3274446666666668E-2</c:v>
                </c:pt>
                <c:pt idx="2">
                  <c:v>0.19985867200000001</c:v>
                </c:pt>
                <c:pt idx="3">
                  <c:v>9.9929336000000007E-2</c:v>
                </c:pt>
                <c:pt idx="4">
                  <c:v>0.1749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E-4C11-892C-EE57C814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13038"/>
        <c:axId val="90582058"/>
      </c:barChart>
      <c:catAx>
        <c:axId val="8681303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0582058"/>
        <c:crosses val="autoZero"/>
        <c:auto val="1"/>
        <c:lblAlgn val="ctr"/>
        <c:lblOffset val="100"/>
        <c:noMultiLvlLbl val="0"/>
      </c:catAx>
      <c:valAx>
        <c:axId val="90582058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0.0%;\(0.0%\);\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681303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Earnings Cascade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'Income Statement'!$F$15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'Income Statement'!$E$16:$E$21</c:f>
              <c:strCache>
                <c:ptCount val="6"/>
                <c:pt idx="0">
                  <c:v>Sales</c:v>
                </c:pt>
                <c:pt idx="1">
                  <c:v>Gross Profit</c:v>
                </c:pt>
                <c:pt idx="2">
                  <c:v>EBITDA</c:v>
                </c:pt>
                <c:pt idx="3">
                  <c:v>EBIT</c:v>
                </c:pt>
                <c:pt idx="4">
                  <c:v>EBT</c:v>
                </c:pt>
                <c:pt idx="5">
                  <c:v>Net Income</c:v>
                </c:pt>
              </c:strCache>
            </c:strRef>
          </c:cat>
          <c:val>
            <c:numRef>
              <c:f>'Income Statement'!$F$16:$F$21</c:f>
              <c:numCache>
                <c:formatCode>[$EUR ]#,##0;\([$EUR ]#,##0\);\-</c:formatCode>
                <c:ptCount val="6"/>
                <c:pt idx="0">
                  <c:v>600000</c:v>
                </c:pt>
                <c:pt idx="1">
                  <c:v>199980</c:v>
                </c:pt>
                <c:pt idx="2">
                  <c:v>79980</c:v>
                </c:pt>
                <c:pt idx="3">
                  <c:v>69960</c:v>
                </c:pt>
                <c:pt idx="4">
                  <c:v>59960</c:v>
                </c:pt>
                <c:pt idx="5">
                  <c:v>49964.668000000005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4-44A3-9594-09FFC2873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8850"/>
        <c:axId val="24869335"/>
      </c:barChart>
      <c:catAx>
        <c:axId val="609885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4869335"/>
        <c:crosses val="autoZero"/>
        <c:auto val="1"/>
        <c:lblAlgn val="ctr"/>
        <c:lblOffset val="100"/>
        <c:noMultiLvlLbl val="0"/>
      </c:catAx>
      <c:valAx>
        <c:axId val="2486933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EUR ]#,##0;\([$EUR ]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09885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Cost 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'Income Statement'!$F$6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9D5-44D4-8A3B-6FDBC2519D6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9D5-44D4-8A3B-6FDBC2519D6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09D5-44D4-8A3B-6FDBC2519D60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09D5-44D4-8A3B-6FDBC2519D60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09D5-44D4-8A3B-6FDBC2519D60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09D5-44D4-8A3B-6FDBC2519D60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09D5-44D4-8A3B-6FDBC2519D60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09D5-44D4-8A3B-6FDBC2519D60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09D5-44D4-8A3B-6FDBC2519D60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09D5-44D4-8A3B-6FDBC2519D60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09D5-44D4-8A3B-6FDBC2519D60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B-09D5-44D4-8A3B-6FDBC2519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'Income Statement'!$E$7:$E$12</c:f>
              <c:strCache>
                <c:ptCount val="6"/>
                <c:pt idx="0">
                  <c:v>COGS</c:v>
                </c:pt>
                <c:pt idx="1">
                  <c:v>Selling</c:v>
                </c:pt>
                <c:pt idx="2">
                  <c:v>Admin</c:v>
                </c:pt>
                <c:pt idx="3">
                  <c:v>R&amp;D</c:v>
                </c:pt>
                <c:pt idx="4">
                  <c:v>D&amp;A</c:v>
                </c:pt>
                <c:pt idx="5">
                  <c:v>Interest</c:v>
                </c:pt>
              </c:strCache>
            </c:strRef>
          </c:cat>
          <c:val>
            <c:numRef>
              <c:f>'Income Statement'!$F$7:$F$12</c:f>
              <c:numCache>
                <c:formatCode>[$EUR ]#,##0;\([$EUR ]#,##0\);\-</c:formatCode>
                <c:ptCount val="6"/>
                <c:pt idx="0">
                  <c:v>400020</c:v>
                </c:pt>
                <c:pt idx="1">
                  <c:v>60000</c:v>
                </c:pt>
                <c:pt idx="2">
                  <c:v>40020</c:v>
                </c:pt>
                <c:pt idx="3">
                  <c:v>19980.000000000004</c:v>
                </c:pt>
                <c:pt idx="4">
                  <c:v>10020</c:v>
                </c:pt>
                <c:pt idx="5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9D5-44D4-8A3B-6FDBC251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Asset Composition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'Common-Size Balance Sheet'!$I$4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C00-4019-9FFF-3EE9044479D7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00-4019-9FFF-3EE9044479D7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BC00-4019-9FFF-3EE9044479D7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BC00-4019-9FFF-3EE9044479D7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BC00-4019-9FFF-3EE9044479D7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BC00-4019-9FFF-3EE9044479D7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BC00-4019-9FFF-3EE9044479D7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BC00-4019-9FFF-3EE904447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'Common-Size Balance Sheet'!$H$5:$H$8</c:f>
              <c:strCache>
                <c:ptCount val="4"/>
                <c:pt idx="0">
                  <c:v>Cash &amp; Equivalents</c:v>
                </c:pt>
                <c:pt idx="1">
                  <c:v>Accounts Receivable</c:v>
                </c:pt>
                <c:pt idx="2">
                  <c:v>Inventories</c:v>
                </c:pt>
                <c:pt idx="3">
                  <c:v>Fixed Assets</c:v>
                </c:pt>
              </c:strCache>
            </c:strRef>
          </c:cat>
          <c:val>
            <c:numRef>
              <c:f>'Common-Size Balance Sheet'!$I$5:$I$8</c:f>
              <c:numCache>
                <c:formatCode>[$EUR ]#,##0;\([$EUR ]#,##0\);\-</c:formatCode>
                <c:ptCount val="4"/>
                <c:pt idx="0">
                  <c:v>60000</c:v>
                </c:pt>
                <c:pt idx="1">
                  <c:v>80000</c:v>
                </c:pt>
                <c:pt idx="2">
                  <c:v>60000</c:v>
                </c:pt>
                <c:pt idx="3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00-4019-9FFF-3EE90444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Liabilities &amp; Equity Composition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'Common-Size Balance Sheet'!$L$4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BF1-4A54-99EF-157EFA0EDD19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CBF1-4A54-99EF-157EFA0EDD19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CBF1-4A54-99EF-157EFA0EDD19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CBF1-4A54-99EF-157EFA0EDD19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CBF1-4A54-99EF-157EFA0EDD19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CBF1-4A54-99EF-157EFA0EDD19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CBF1-4A54-99EF-157EFA0EDD19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CBF1-4A54-99EF-157EFA0EDD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'Common-Size Balance Sheet'!$K$5:$K$8</c:f>
              <c:strCache>
                <c:ptCount val="4"/>
                <c:pt idx="0">
                  <c:v>Accounts Payable</c:v>
                </c:pt>
                <c:pt idx="1">
                  <c:v>Other Current Liab.</c:v>
                </c:pt>
                <c:pt idx="2">
                  <c:v>Long-term Liabilities</c:v>
                </c:pt>
                <c:pt idx="3">
                  <c:v>Equity</c:v>
                </c:pt>
              </c:strCache>
            </c:strRef>
          </c:cat>
          <c:val>
            <c:numRef>
              <c:f>'Common-Size Balance Sheet'!$L$5:$L$8</c:f>
              <c:numCache>
                <c:formatCode>[$EUR ]#,##0;\([$EUR ]#,##0\);\-</c:formatCode>
                <c:ptCount val="4"/>
                <c:pt idx="0">
                  <c:v>50000</c:v>
                </c:pt>
                <c:pt idx="1">
                  <c:v>50000</c:v>
                </c:pt>
                <c:pt idx="2">
                  <c:v>150000</c:v>
                </c:pt>
                <c:pt idx="3">
                  <c:v>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F1-4A54-99EF-157EFA0ED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Cash Flow Summary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'Cash Flow Statement'!$E$15</c:f>
              <c:strCache>
                <c:ptCount val="1"/>
                <c:pt idx="0">
                  <c:v>Amount (EUR)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'Cash Flow Statement'!$D$16:$D$19</c:f>
              <c:strCache>
                <c:ptCount val="4"/>
                <c:pt idx="0">
                  <c:v>Operating (CFO)</c:v>
                </c:pt>
                <c:pt idx="1">
                  <c:v>Investing (CFI)</c:v>
                </c:pt>
                <c:pt idx="2">
                  <c:v>Financing (CFF)</c:v>
                </c:pt>
                <c:pt idx="3">
                  <c:v>Net Change in Cash</c:v>
                </c:pt>
              </c:strCache>
            </c:strRef>
          </c:cat>
          <c:val>
            <c:numRef>
              <c:f>'Cash Flow Statement'!$E$16:$E$19</c:f>
              <c:numCache>
                <c:formatCode>[$EUR ]#,##0;\([$EUR ]#,##0\);\-</c:formatCode>
                <c:ptCount val="4"/>
                <c:pt idx="0">
                  <c:v>-29992.831999999995</c:v>
                </c:pt>
                <c:pt idx="1">
                  <c:v>-15000</c:v>
                </c:pt>
                <c:pt idx="2">
                  <c:v>-15000</c:v>
                </c:pt>
                <c:pt idx="3">
                  <c:v>-59992.831999999995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1-4C30-836D-C11DB2104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59880"/>
        <c:axId val="71674144"/>
      </c:barChart>
      <c:catAx>
        <c:axId val="55259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1674144"/>
        <c:crosses val="autoZero"/>
        <c:auto val="1"/>
        <c:lblAlgn val="ctr"/>
        <c:lblOffset val="100"/>
        <c:noMultiLvlLbl val="0"/>
      </c:catAx>
      <c:valAx>
        <c:axId val="7167414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EUR ]#,##0;\([$EUR ]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525988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Operating Cash Flow – Components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'Cash Flow Statement'!$H$15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'Cash Flow Statement'!$G$16:$G$21</c:f>
              <c:strCache>
                <c:ptCount val="6"/>
                <c:pt idx="0">
                  <c:v>Net Income</c:v>
                </c:pt>
                <c:pt idx="1">
                  <c:v>D&amp;A (add-back)</c:v>
                </c:pt>
                <c:pt idx="2">
                  <c:v>-ΔAR</c:v>
                </c:pt>
                <c:pt idx="3">
                  <c:v>-ΔInventories</c:v>
                </c:pt>
                <c:pt idx="4">
                  <c:v>+ΔAP</c:v>
                </c:pt>
                <c:pt idx="5">
                  <c:v>CFO (total)</c:v>
                </c:pt>
              </c:strCache>
            </c:strRef>
          </c:cat>
          <c:val>
            <c:numRef>
              <c:f>'Cash Flow Statement'!$H$16:$H$21</c:f>
              <c:numCache>
                <c:formatCode>[$EUR ]#,##0;\([$EUR ]#,##0\);\-</c:formatCode>
                <c:ptCount val="6"/>
                <c:pt idx="0">
                  <c:v>49964.668000000005</c:v>
                </c:pt>
                <c:pt idx="1">
                  <c:v>10020</c:v>
                </c:pt>
                <c:pt idx="2">
                  <c:v>-79980</c:v>
                </c:pt>
                <c:pt idx="3">
                  <c:v>-60000</c:v>
                </c:pt>
                <c:pt idx="4">
                  <c:v>50002.5</c:v>
                </c:pt>
                <c:pt idx="5">
                  <c:v>-29992.831999999995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4-432F-A298-6F2B4007C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279330"/>
        <c:axId val="15078406"/>
      </c:barChart>
      <c:catAx>
        <c:axId val="952793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078406"/>
        <c:crosses val="autoZero"/>
        <c:auto val="1"/>
        <c:lblAlgn val="ctr"/>
        <c:lblOffset val="100"/>
        <c:noMultiLvlLbl val="0"/>
      </c:catAx>
      <c:valAx>
        <c:axId val="1507840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EUR ]#,##0;\([$EUR ]#,##0\);\-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527933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39</xdr:row>
      <xdr:rowOff>0</xdr:rowOff>
    </xdr:from>
    <xdr:to>
      <xdr:col>12</xdr:col>
      <xdr:colOff>147240</xdr:colOff>
      <xdr:row>56</xdr:row>
      <xdr:rowOff>134280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52</xdr:row>
      <xdr:rowOff>171720</xdr:rowOff>
    </xdr:from>
    <xdr:to>
      <xdr:col>11</xdr:col>
      <xdr:colOff>39240</xdr:colOff>
      <xdr:row>68</xdr:row>
      <xdr:rowOff>127080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63</xdr:row>
      <xdr:rowOff>171360</xdr:rowOff>
    </xdr:from>
    <xdr:to>
      <xdr:col>15</xdr:col>
      <xdr:colOff>38880</xdr:colOff>
      <xdr:row>79</xdr:row>
      <xdr:rowOff>136440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4</xdr:col>
      <xdr:colOff>840960</xdr:colOff>
      <xdr:row>31</xdr:row>
      <xdr:rowOff>161280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12</xdr:col>
      <xdr:colOff>462960</xdr:colOff>
      <xdr:row>19</xdr:row>
      <xdr:rowOff>165240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12</xdr:col>
      <xdr:colOff>181080</xdr:colOff>
      <xdr:row>19</xdr:row>
      <xdr:rowOff>165240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0</xdr:rowOff>
    </xdr:from>
    <xdr:to>
      <xdr:col>12</xdr:col>
      <xdr:colOff>147240</xdr:colOff>
      <xdr:row>39</xdr:row>
      <xdr:rowOff>162720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32</xdr:row>
      <xdr:rowOff>0</xdr:rowOff>
    </xdr:from>
    <xdr:to>
      <xdr:col>11</xdr:col>
      <xdr:colOff>38880</xdr:colOff>
      <xdr:row>51</xdr:row>
      <xdr:rowOff>161280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13</xdr:col>
      <xdr:colOff>290520</xdr:colOff>
      <xdr:row>27</xdr:row>
      <xdr:rowOff>162720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10</xdr:row>
      <xdr:rowOff>0</xdr:rowOff>
    </xdr:from>
    <xdr:to>
      <xdr:col>16</xdr:col>
      <xdr:colOff>290520</xdr:colOff>
      <xdr:row>27</xdr:row>
      <xdr:rowOff>162720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11</xdr:col>
      <xdr:colOff>507240</xdr:colOff>
      <xdr:row>37</xdr:row>
      <xdr:rowOff>162720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22</xdr:row>
      <xdr:rowOff>0</xdr:rowOff>
    </xdr:from>
    <xdr:to>
      <xdr:col>14</xdr:col>
      <xdr:colOff>507600</xdr:colOff>
      <xdr:row>39</xdr:row>
      <xdr:rowOff>163080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10</xdr:col>
      <xdr:colOff>398520</xdr:colOff>
      <xdr:row>27</xdr:row>
      <xdr:rowOff>143640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506880</xdr:colOff>
      <xdr:row>16</xdr:row>
      <xdr:rowOff>165240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506880</xdr:colOff>
      <xdr:row>16</xdr:row>
      <xdr:rowOff>165240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15</xdr:row>
      <xdr:rowOff>0</xdr:rowOff>
    </xdr:from>
    <xdr:to>
      <xdr:col>14</xdr:col>
      <xdr:colOff>506880</xdr:colOff>
      <xdr:row>29</xdr:row>
      <xdr:rowOff>117720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0</xdr:colOff>
      <xdr:row>8</xdr:row>
      <xdr:rowOff>0</xdr:rowOff>
    </xdr:from>
    <xdr:to>
      <xdr:col>18</xdr:col>
      <xdr:colOff>290520</xdr:colOff>
      <xdr:row>25</xdr:row>
      <xdr:rowOff>115560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0</xdr:colOff>
      <xdr:row>26</xdr:row>
      <xdr:rowOff>0</xdr:rowOff>
    </xdr:from>
    <xdr:to>
      <xdr:col>19</xdr:col>
      <xdr:colOff>399240</xdr:colOff>
      <xdr:row>43</xdr:row>
      <xdr:rowOff>163080</xdr:rowOff>
    </xdr:to>
    <xdr:graphicFrame macro="">
      <xdr:nvGraphicFramePr>
        <xdr:cNvPr id="14" name="Chart 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13</xdr:col>
      <xdr:colOff>90500</xdr:colOff>
      <xdr:row>29</xdr:row>
      <xdr:rowOff>160560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4</xdr:col>
      <xdr:colOff>840960</xdr:colOff>
      <xdr:row>31</xdr:row>
      <xdr:rowOff>161280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zoomScaleNormal="100" workbookViewId="0">
      <selection activeCell="D14" sqref="D14"/>
    </sheetView>
  </sheetViews>
  <sheetFormatPr defaultColWidth="8.6328125" defaultRowHeight="14.5" x14ac:dyDescent="0.35"/>
  <cols>
    <col min="1" max="4" width="28" customWidth="1"/>
  </cols>
  <sheetData>
    <row r="1" spans="1:6" ht="18" customHeight="1" x14ac:dyDescent="0.45">
      <c r="A1" s="1" t="s">
        <v>0</v>
      </c>
      <c r="B1" s="1"/>
      <c r="C1" s="1"/>
      <c r="D1" s="1"/>
      <c r="E1" s="1"/>
      <c r="F1" s="1"/>
    </row>
    <row r="3" spans="1:6" ht="15" customHeight="1" x14ac:dyDescent="0.35">
      <c r="A3" s="2" t="s">
        <v>1</v>
      </c>
    </row>
    <row r="5" spans="1:6" ht="14.25" customHeight="1" x14ac:dyDescent="0.35">
      <c r="A5" s="3" t="s">
        <v>2</v>
      </c>
      <c r="B5" s="4">
        <v>200000</v>
      </c>
    </row>
    <row r="6" spans="1:6" ht="14.25" customHeight="1" x14ac:dyDescent="0.35">
      <c r="A6" s="3" t="s">
        <v>3</v>
      </c>
      <c r="B6" s="4">
        <v>300000</v>
      </c>
    </row>
    <row r="7" spans="1:6" ht="14.25" customHeight="1" x14ac:dyDescent="0.35">
      <c r="A7" s="5" t="s">
        <v>4</v>
      </c>
      <c r="B7" s="4">
        <f>B5+B6</f>
        <v>500000</v>
      </c>
    </row>
    <row r="8" spans="1:6" ht="14.25" customHeight="1" x14ac:dyDescent="0.35">
      <c r="A8" s="3" t="s">
        <v>5</v>
      </c>
      <c r="B8" s="4">
        <v>60000</v>
      </c>
    </row>
    <row r="9" spans="1:6" ht="14.25" customHeight="1" x14ac:dyDescent="0.35">
      <c r="A9" s="3" t="s">
        <v>6</v>
      </c>
      <c r="B9" s="4">
        <v>80000</v>
      </c>
    </row>
    <row r="10" spans="1:6" ht="14.25" customHeight="1" x14ac:dyDescent="0.35">
      <c r="A10" s="3" t="s">
        <v>7</v>
      </c>
      <c r="B10" s="4">
        <v>50000</v>
      </c>
    </row>
    <row r="11" spans="1:6" ht="14.25" customHeight="1" x14ac:dyDescent="0.35">
      <c r="A11" s="3" t="s">
        <v>8</v>
      </c>
      <c r="B11" s="4">
        <v>100000</v>
      </c>
    </row>
    <row r="12" spans="1:6" ht="14.25" customHeight="1" x14ac:dyDescent="0.35">
      <c r="A12" s="3" t="s">
        <v>9</v>
      </c>
      <c r="B12" s="4">
        <v>150000</v>
      </c>
    </row>
    <row r="13" spans="1:6" ht="14.25" customHeight="1" x14ac:dyDescent="0.35">
      <c r="A13" s="3" t="s">
        <v>10</v>
      </c>
      <c r="B13" s="4">
        <v>250000</v>
      </c>
    </row>
    <row r="14" spans="1:6" ht="14.25" customHeight="1" x14ac:dyDescent="0.35">
      <c r="A14" s="3" t="s">
        <v>11</v>
      </c>
      <c r="B14" s="4">
        <f>Scen_Sales</f>
        <v>600000</v>
      </c>
    </row>
    <row r="15" spans="1:6" ht="14.25" customHeight="1" x14ac:dyDescent="0.35">
      <c r="A15" s="3" t="s">
        <v>12</v>
      </c>
      <c r="B15" s="4">
        <f>B14*Scen_COGS_Pct</f>
        <v>400020</v>
      </c>
    </row>
    <row r="16" spans="1:6" ht="14.25" customHeight="1" x14ac:dyDescent="0.35">
      <c r="A16" s="5" t="s">
        <v>13</v>
      </c>
      <c r="B16" s="4">
        <f>B14-B15</f>
        <v>199980</v>
      </c>
    </row>
    <row r="17" spans="1:5" ht="14.25" customHeight="1" x14ac:dyDescent="0.35">
      <c r="A17" s="3" t="s">
        <v>14</v>
      </c>
      <c r="B17" s="4">
        <f>'Income Statement'!B25</f>
        <v>49964.668000000005</v>
      </c>
    </row>
    <row r="18" spans="1:5" ht="14.25" customHeight="1" x14ac:dyDescent="0.35">
      <c r="A18" s="3" t="s">
        <v>15</v>
      </c>
      <c r="B18" s="4">
        <f>Scen_Interest</f>
        <v>10000</v>
      </c>
    </row>
    <row r="19" spans="1:5" ht="14.25" customHeight="1" x14ac:dyDescent="0.35">
      <c r="A19" t="s">
        <v>16</v>
      </c>
      <c r="B19" s="6">
        <f>'Income Statement'!B21</f>
        <v>69960</v>
      </c>
    </row>
    <row r="20" spans="1:5" ht="14.25" customHeight="1" x14ac:dyDescent="0.35">
      <c r="A20" t="s">
        <v>17</v>
      </c>
      <c r="B20" s="7">
        <v>10000</v>
      </c>
    </row>
    <row r="21" spans="1:5" ht="14.25" customHeight="1" x14ac:dyDescent="0.35">
      <c r="A21" t="s">
        <v>18</v>
      </c>
      <c r="B21" s="6">
        <f>Scen_SharePrice</f>
        <v>15</v>
      </c>
    </row>
    <row r="22" spans="1:5" ht="14.25" customHeight="1" x14ac:dyDescent="0.35">
      <c r="A22" t="s">
        <v>19</v>
      </c>
      <c r="B22" s="6">
        <f>Scen_DivPS</f>
        <v>2</v>
      </c>
    </row>
    <row r="31" spans="1:5" ht="15" customHeight="1" x14ac:dyDescent="0.35">
      <c r="A31" s="8" t="s">
        <v>20</v>
      </c>
      <c r="B31" s="4">
        <v>70000</v>
      </c>
    </row>
    <row r="32" spans="1:5" ht="14.25" customHeight="1" x14ac:dyDescent="0.35">
      <c r="A32" s="9" t="s">
        <v>21</v>
      </c>
      <c r="B32" s="9" t="s">
        <v>22</v>
      </c>
      <c r="C32" s="10" t="s">
        <v>23</v>
      </c>
      <c r="E32" s="11" t="s">
        <v>24</v>
      </c>
    </row>
    <row r="33" spans="1:6" ht="14.25" customHeight="1" x14ac:dyDescent="0.35">
      <c r="A33" s="3" t="s">
        <v>25</v>
      </c>
      <c r="B33" s="12" t="s">
        <v>26</v>
      </c>
      <c r="C33" s="13">
        <f>(Current_Liabilities+Long_Term_Liabilities)/Equity</f>
        <v>1</v>
      </c>
      <c r="E33" s="14" t="s">
        <v>21</v>
      </c>
      <c r="F33" s="14" t="s">
        <v>23</v>
      </c>
    </row>
    <row r="34" spans="1:6" ht="14.25" customHeight="1" x14ac:dyDescent="0.35">
      <c r="A34" s="3" t="s">
        <v>27</v>
      </c>
      <c r="B34" s="12" t="s">
        <v>28</v>
      </c>
      <c r="C34" s="15">
        <f>Equity/Total_Assets</f>
        <v>0.5</v>
      </c>
      <c r="E34" t="s">
        <v>29</v>
      </c>
      <c r="F34" s="16">
        <f>C42</f>
        <v>2</v>
      </c>
    </row>
    <row r="35" spans="1:6" ht="14.25" customHeight="1" x14ac:dyDescent="0.35">
      <c r="A35" s="12" t="s">
        <v>30</v>
      </c>
      <c r="B35" s="12" t="s">
        <v>31</v>
      </c>
      <c r="C35" s="17">
        <f>Total_Assets/Equity</f>
        <v>2</v>
      </c>
      <c r="E35" t="s">
        <v>32</v>
      </c>
      <c r="F35" s="16">
        <f>C43</f>
        <v>1.4</v>
      </c>
    </row>
    <row r="36" spans="1:6" ht="14.25" customHeight="1" x14ac:dyDescent="0.35">
      <c r="A36" s="12" t="s">
        <v>33</v>
      </c>
      <c r="B36" s="12" t="s">
        <v>34</v>
      </c>
      <c r="C36" s="15">
        <f>Long_Term_Liabilities/(Equity+Long_Term_Liabilities)</f>
        <v>0.375</v>
      </c>
      <c r="E36" t="s">
        <v>35</v>
      </c>
      <c r="F36" s="16">
        <f>C33</f>
        <v>1</v>
      </c>
    </row>
    <row r="37" spans="1:6" ht="14.25" customHeight="1" x14ac:dyDescent="0.35">
      <c r="A37" s="12" t="s">
        <v>36</v>
      </c>
      <c r="B37" s="12" t="s">
        <v>37</v>
      </c>
      <c r="C37" s="17">
        <f>EBIT/Interest_Expense</f>
        <v>6.9960000000000004</v>
      </c>
      <c r="E37" t="s">
        <v>38</v>
      </c>
      <c r="F37" s="16">
        <f>C37</f>
        <v>6.9960000000000004</v>
      </c>
    </row>
    <row r="38" spans="1:6" ht="14.25" customHeight="1" x14ac:dyDescent="0.35">
      <c r="E38" t="s">
        <v>39</v>
      </c>
      <c r="F38" s="16">
        <f>C60</f>
        <v>1.2</v>
      </c>
    </row>
    <row r="40" spans="1:6" ht="15" customHeight="1" x14ac:dyDescent="0.35">
      <c r="A40" s="2" t="s">
        <v>40</v>
      </c>
    </row>
    <row r="41" spans="1:6" ht="14.25" customHeight="1" x14ac:dyDescent="0.35">
      <c r="A41" s="10" t="s">
        <v>21</v>
      </c>
      <c r="B41" s="10" t="s">
        <v>22</v>
      </c>
      <c r="C41" s="10" t="s">
        <v>23</v>
      </c>
    </row>
    <row r="42" spans="1:6" ht="14.25" customHeight="1" x14ac:dyDescent="0.35">
      <c r="A42" s="12" t="s">
        <v>29</v>
      </c>
      <c r="B42" s="12" t="s">
        <v>41</v>
      </c>
      <c r="C42" s="13">
        <f>Current_Assets/Current_Liabilities</f>
        <v>2</v>
      </c>
    </row>
    <row r="43" spans="1:6" ht="14.25" customHeight="1" x14ac:dyDescent="0.35">
      <c r="A43" s="12" t="s">
        <v>42</v>
      </c>
      <c r="B43" s="12" t="s">
        <v>43</v>
      </c>
      <c r="C43" s="13">
        <f>(Current_Assets-Inventories)/Current_Liabilities</f>
        <v>1.4</v>
      </c>
    </row>
    <row r="44" spans="1:6" ht="14.25" customHeight="1" x14ac:dyDescent="0.35">
      <c r="A44" s="12" t="s">
        <v>44</v>
      </c>
      <c r="B44" s="12" t="s">
        <v>45</v>
      </c>
      <c r="C44" s="13">
        <f>(Current_Assets-Inventories-Accounts_Receivable)/Current_Liabilities</f>
        <v>0.6</v>
      </c>
    </row>
    <row r="45" spans="1:6" ht="14.25" customHeight="1" x14ac:dyDescent="0.35">
      <c r="A45" s="12" t="s">
        <v>46</v>
      </c>
      <c r="B45" s="12" t="s">
        <v>47</v>
      </c>
      <c r="C45" s="4">
        <f>Current_Assets-Current_Liabilities</f>
        <v>100000</v>
      </c>
    </row>
    <row r="46" spans="1:6" ht="14.25" customHeight="1" x14ac:dyDescent="0.35">
      <c r="A46" s="12" t="s">
        <v>48</v>
      </c>
      <c r="B46" s="12" t="s">
        <v>49</v>
      </c>
      <c r="C46" s="17">
        <f>(Net_Income+Interest_Expense)/Interest_Expense</f>
        <v>5.9964668000000003</v>
      </c>
    </row>
    <row r="48" spans="1:6" ht="15.5" x14ac:dyDescent="0.35">
      <c r="E48" s="11" t="s">
        <v>50</v>
      </c>
    </row>
    <row r="49" spans="1:6" ht="15" customHeight="1" x14ac:dyDescent="0.35">
      <c r="A49" s="2" t="s">
        <v>51</v>
      </c>
      <c r="E49" s="14" t="s">
        <v>21</v>
      </c>
      <c r="F49" s="14" t="s">
        <v>23</v>
      </c>
    </row>
    <row r="50" spans="1:6" ht="14.25" customHeight="1" x14ac:dyDescent="0.35">
      <c r="A50" s="10" t="s">
        <v>21</v>
      </c>
      <c r="B50" s="10" t="s">
        <v>22</v>
      </c>
      <c r="C50" s="10" t="s">
        <v>23</v>
      </c>
      <c r="E50" t="s">
        <v>29</v>
      </c>
      <c r="F50" s="18">
        <f>C42</f>
        <v>2</v>
      </c>
    </row>
    <row r="51" spans="1:6" ht="14.25" customHeight="1" x14ac:dyDescent="0.35">
      <c r="A51" s="12" t="s">
        <v>52</v>
      </c>
      <c r="B51" s="12" t="s">
        <v>53</v>
      </c>
      <c r="C51" s="15">
        <f>Net_Income/Sales</f>
        <v>8.3274446666666668E-2</v>
      </c>
      <c r="E51" t="s">
        <v>32</v>
      </c>
      <c r="F51" s="18">
        <f>C43</f>
        <v>1.4</v>
      </c>
    </row>
    <row r="52" spans="1:6" ht="14.25" customHeight="1" x14ac:dyDescent="0.35">
      <c r="A52" s="12" t="s">
        <v>54</v>
      </c>
      <c r="B52" s="12" t="s">
        <v>55</v>
      </c>
      <c r="C52" s="15">
        <f>Gross_Profit/Sales</f>
        <v>0.33329999999999999</v>
      </c>
      <c r="E52" t="s">
        <v>56</v>
      </c>
      <c r="F52" s="18">
        <f>C44</f>
        <v>0.6</v>
      </c>
    </row>
    <row r="53" spans="1:6" ht="14.25" customHeight="1" x14ac:dyDescent="0.35">
      <c r="A53" s="12" t="s">
        <v>57</v>
      </c>
      <c r="B53" s="12" t="s">
        <v>58</v>
      </c>
      <c r="C53" s="15">
        <f>Net_Income/Equity</f>
        <v>0.19985867200000001</v>
      </c>
    </row>
    <row r="54" spans="1:6" ht="14.25" customHeight="1" x14ac:dyDescent="0.35">
      <c r="A54" s="12" t="s">
        <v>59</v>
      </c>
      <c r="B54" s="12" t="s">
        <v>60</v>
      </c>
      <c r="C54" s="15">
        <f>Net_Income/Total_Assets</f>
        <v>9.9929336000000007E-2</v>
      </c>
    </row>
    <row r="55" spans="1:6" ht="14.25" customHeight="1" x14ac:dyDescent="0.35">
      <c r="A55" s="12" t="s">
        <v>61</v>
      </c>
      <c r="B55" s="12" t="s">
        <v>62</v>
      </c>
      <c r="C55" s="15">
        <f>EBIT/(Total_Assets-Current_Liabilities)</f>
        <v>0.1749</v>
      </c>
    </row>
    <row r="58" spans="1:6" ht="15" customHeight="1" x14ac:dyDescent="0.35">
      <c r="A58" s="2" t="s">
        <v>63</v>
      </c>
    </row>
    <row r="59" spans="1:6" ht="14.25" customHeight="1" x14ac:dyDescent="0.35">
      <c r="A59" s="10" t="s">
        <v>21</v>
      </c>
      <c r="B59" s="10" t="s">
        <v>22</v>
      </c>
      <c r="C59" s="10" t="s">
        <v>23</v>
      </c>
    </row>
    <row r="60" spans="1:6" ht="14.25" customHeight="1" x14ac:dyDescent="0.35">
      <c r="A60" s="12" t="s">
        <v>39</v>
      </c>
      <c r="B60" s="12" t="s">
        <v>64</v>
      </c>
      <c r="C60" s="17">
        <f>Sales/Total_Assets</f>
        <v>1.2</v>
      </c>
    </row>
    <row r="61" spans="1:6" ht="14.25" customHeight="1" x14ac:dyDescent="0.35">
      <c r="A61" s="12" t="s">
        <v>65</v>
      </c>
      <c r="B61" s="12" t="s">
        <v>66</v>
      </c>
      <c r="C61" s="17">
        <f>Sales/Fixed_Assets</f>
        <v>2</v>
      </c>
    </row>
    <row r="62" spans="1:6" ht="14.25" customHeight="1" x14ac:dyDescent="0.35">
      <c r="A62" s="12" t="s">
        <v>67</v>
      </c>
      <c r="B62" s="12" t="s">
        <v>68</v>
      </c>
      <c r="C62" s="17">
        <f>COGS/Inventories</f>
        <v>6.6669999999999998</v>
      </c>
    </row>
    <row r="63" spans="1:6" ht="14.25" customHeight="1" x14ac:dyDescent="0.35">
      <c r="A63" s="12" t="s">
        <v>69</v>
      </c>
      <c r="B63" s="12" t="s">
        <v>70</v>
      </c>
      <c r="C63" s="19">
        <f>(Accounts_Receivable/Sales)*365</f>
        <v>48.666666666666664</v>
      </c>
    </row>
    <row r="64" spans="1:6" ht="14.25" customHeight="1" x14ac:dyDescent="0.35">
      <c r="A64" s="12" t="s">
        <v>71</v>
      </c>
      <c r="B64" s="12" t="s">
        <v>72</v>
      </c>
      <c r="C64" s="19">
        <f>(Accounts_Payable/COGS)*365</f>
        <v>45.622718864056793</v>
      </c>
    </row>
    <row r="65" spans="1:6" ht="15.5" x14ac:dyDescent="0.35">
      <c r="E65" s="11" t="s">
        <v>73</v>
      </c>
    </row>
    <row r="66" spans="1:6" x14ac:dyDescent="0.35">
      <c r="E66" s="14" t="s">
        <v>74</v>
      </c>
      <c r="F66" s="14" t="s">
        <v>75</v>
      </c>
    </row>
    <row r="67" spans="1:6" ht="15" customHeight="1" x14ac:dyDescent="0.35">
      <c r="A67" s="2" t="s">
        <v>76</v>
      </c>
      <c r="E67" t="s">
        <v>54</v>
      </c>
      <c r="F67" s="20">
        <f>C52</f>
        <v>0.33329999999999999</v>
      </c>
    </row>
    <row r="68" spans="1:6" ht="14.25" customHeight="1" x14ac:dyDescent="0.35">
      <c r="A68" s="10" t="s">
        <v>21</v>
      </c>
      <c r="B68" s="10" t="s">
        <v>22</v>
      </c>
      <c r="C68" s="10" t="s">
        <v>23</v>
      </c>
      <c r="E68" t="s">
        <v>77</v>
      </c>
      <c r="F68" s="20">
        <f>C51</f>
        <v>8.3274446666666668E-2</v>
      </c>
    </row>
    <row r="69" spans="1:6" ht="14.25" customHeight="1" x14ac:dyDescent="0.35">
      <c r="A69" s="12" t="s">
        <v>78</v>
      </c>
      <c r="B69" s="12" t="s">
        <v>79</v>
      </c>
      <c r="C69" s="4">
        <f>Net_Income/Shares_Outstanding</f>
        <v>4.9964668000000003</v>
      </c>
      <c r="E69" t="s">
        <v>57</v>
      </c>
      <c r="F69" s="20">
        <f>C53</f>
        <v>0.19985867200000001</v>
      </c>
    </row>
    <row r="70" spans="1:6" ht="14.25" customHeight="1" x14ac:dyDescent="0.35">
      <c r="A70" s="12" t="s">
        <v>80</v>
      </c>
      <c r="B70" s="12" t="s">
        <v>81</v>
      </c>
      <c r="C70" s="17">
        <f>Share_Price/(Net_Income/Shares_Outstanding)</f>
        <v>3.0021214190795784</v>
      </c>
      <c r="E70" t="s">
        <v>59</v>
      </c>
      <c r="F70" s="20">
        <f>C54</f>
        <v>9.9929336000000007E-2</v>
      </c>
    </row>
    <row r="71" spans="1:6" ht="14.25" customHeight="1" x14ac:dyDescent="0.35">
      <c r="A71" s="12" t="s">
        <v>82</v>
      </c>
      <c r="B71" s="12" t="s">
        <v>83</v>
      </c>
      <c r="C71" s="15">
        <f>Dividend_per_Share/Share_Price</f>
        <v>0.13333333333333333</v>
      </c>
      <c r="E71" t="s">
        <v>84</v>
      </c>
      <c r="F71" s="20">
        <f>C55</f>
        <v>0.1749</v>
      </c>
    </row>
    <row r="72" spans="1:6" ht="14.25" customHeight="1" x14ac:dyDescent="0.35">
      <c r="A72" s="12" t="s">
        <v>85</v>
      </c>
      <c r="B72" s="12" t="s">
        <v>86</v>
      </c>
      <c r="C72" s="15">
        <f>Dividend_per_Share/(Net_Income/Shares_Outstanding)</f>
        <v>0.40028285587727708</v>
      </c>
    </row>
    <row r="73" spans="1:6" ht="14.25" customHeight="1" x14ac:dyDescent="0.35">
      <c r="A73" s="12" t="s">
        <v>87</v>
      </c>
      <c r="B73" s="12" t="s">
        <v>88</v>
      </c>
      <c r="C73" s="4">
        <f>Equity/Shares_Outstanding</f>
        <v>25</v>
      </c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zoomScaleNormal="100" workbookViewId="0"/>
  </sheetViews>
  <sheetFormatPr defaultColWidth="8.6328125" defaultRowHeight="14.5" x14ac:dyDescent="0.35"/>
  <cols>
    <col min="1" max="9" width="20" customWidth="1"/>
  </cols>
  <sheetData>
    <row r="1" spans="1:9" ht="18" customHeight="1" x14ac:dyDescent="0.45">
      <c r="A1" s="1" t="s">
        <v>234</v>
      </c>
      <c r="B1" s="1"/>
      <c r="C1" s="1"/>
      <c r="D1" s="1"/>
      <c r="E1" s="1"/>
      <c r="F1" s="1"/>
      <c r="G1" s="1"/>
      <c r="H1" s="1"/>
      <c r="I1" s="1"/>
    </row>
    <row r="3" spans="1:9" ht="14.25" customHeight="1" x14ac:dyDescent="0.35">
      <c r="A3" t="s">
        <v>231</v>
      </c>
    </row>
    <row r="4" spans="1:9" ht="14.25" customHeight="1" x14ac:dyDescent="0.35">
      <c r="A4" t="s">
        <v>235</v>
      </c>
    </row>
    <row r="6" spans="1:9" ht="14.25" customHeight="1" x14ac:dyDescent="0.35">
      <c r="A6" s="25" t="s">
        <v>236</v>
      </c>
      <c r="B6" s="33">
        <v>0.8</v>
      </c>
      <c r="C6" s="33">
        <v>0.9</v>
      </c>
      <c r="D6" s="33">
        <v>1</v>
      </c>
      <c r="E6" s="33">
        <v>1.1000000000000001</v>
      </c>
      <c r="F6" s="33">
        <v>1.2</v>
      </c>
    </row>
    <row r="7" spans="1:9" ht="14.25" customHeight="1" x14ac:dyDescent="0.35">
      <c r="A7" s="22">
        <v>0.9</v>
      </c>
      <c r="B7" s="23">
        <f t="shared" ref="B7:F11" si="0">(((Scen_Sales*$A7)*(1-Scen_COGS_Pct) - (Scen_Sales*$A7)*(Scen_Sell_Pct+Scen_Admin_Pct+Scen_RnD_Pct) - (Scen_Sales*$A7)*Scen_DA_Pct)*(1-Scen_Tax) + (Scen_Sales*$A7)*Scen_DA_Pct - (Scen_CapEx*B$6) - (Delta_AR+Delta_Inventory-Delta_AP))</f>
        <v>-40491.598799999971</v>
      </c>
      <c r="C7" s="23">
        <f t="shared" si="0"/>
        <v>-41991.598799999971</v>
      </c>
      <c r="D7" s="23">
        <f t="shared" si="0"/>
        <v>-43491.598799999971</v>
      </c>
      <c r="E7" s="23">
        <f t="shared" si="0"/>
        <v>-44991.598799999971</v>
      </c>
      <c r="F7" s="23">
        <f t="shared" si="0"/>
        <v>-46491.598799999971</v>
      </c>
    </row>
    <row r="8" spans="1:9" ht="14.25" customHeight="1" x14ac:dyDescent="0.35">
      <c r="A8" s="22">
        <v>0.95</v>
      </c>
      <c r="B8" s="23">
        <f t="shared" si="0"/>
        <v>-37075.715399999972</v>
      </c>
      <c r="C8" s="23">
        <f t="shared" si="0"/>
        <v>-38575.715399999972</v>
      </c>
      <c r="D8" s="23">
        <f t="shared" si="0"/>
        <v>-40075.715399999972</v>
      </c>
      <c r="E8" s="23">
        <f t="shared" si="0"/>
        <v>-41575.715399999972</v>
      </c>
      <c r="F8" s="23">
        <f t="shared" si="0"/>
        <v>-43075.715399999972</v>
      </c>
    </row>
    <row r="9" spans="1:9" ht="14.25" customHeight="1" x14ac:dyDescent="0.35">
      <c r="A9" s="22">
        <v>1</v>
      </c>
      <c r="B9" s="23">
        <f t="shared" si="0"/>
        <v>-33659.831999999966</v>
      </c>
      <c r="C9" s="23">
        <f t="shared" si="0"/>
        <v>-35159.831999999966</v>
      </c>
      <c r="D9" s="23">
        <f t="shared" si="0"/>
        <v>-36659.831999999966</v>
      </c>
      <c r="E9" s="23">
        <f t="shared" si="0"/>
        <v>-38159.831999999966</v>
      </c>
      <c r="F9" s="23">
        <f t="shared" si="0"/>
        <v>-39659.831999999966</v>
      </c>
    </row>
    <row r="10" spans="1:9" ht="14.25" customHeight="1" x14ac:dyDescent="0.35">
      <c r="A10" s="22">
        <v>1.05</v>
      </c>
      <c r="B10" s="23">
        <f t="shared" si="0"/>
        <v>-30243.948599999974</v>
      </c>
      <c r="C10" s="23">
        <f t="shared" si="0"/>
        <v>-31743.948599999974</v>
      </c>
      <c r="D10" s="23">
        <f t="shared" si="0"/>
        <v>-33243.948599999974</v>
      </c>
      <c r="E10" s="23">
        <f t="shared" si="0"/>
        <v>-34743.948599999974</v>
      </c>
      <c r="F10" s="23">
        <f t="shared" si="0"/>
        <v>-36243.948599999974</v>
      </c>
    </row>
    <row r="11" spans="1:9" ht="14.25" customHeight="1" x14ac:dyDescent="0.35">
      <c r="A11" s="22">
        <v>1.1000000000000001</v>
      </c>
      <c r="B11" s="23">
        <f t="shared" si="0"/>
        <v>-26828.065199999983</v>
      </c>
      <c r="C11" s="23">
        <f t="shared" si="0"/>
        <v>-28328.065199999983</v>
      </c>
      <c r="D11" s="23">
        <f t="shared" si="0"/>
        <v>-29828.065199999983</v>
      </c>
      <c r="E11" s="23">
        <f t="shared" si="0"/>
        <v>-31328.065199999983</v>
      </c>
      <c r="F11" s="23">
        <f t="shared" si="0"/>
        <v>-32828.065199999983</v>
      </c>
    </row>
  </sheetData>
  <mergeCells count="1">
    <mergeCell ref="A1:I1"/>
  </mergeCells>
  <conditionalFormatting sqref="B7:F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"/>
  <sheetViews>
    <sheetView zoomScaleNormal="100" workbookViewId="0"/>
  </sheetViews>
  <sheetFormatPr defaultColWidth="8.6328125" defaultRowHeight="14.5" x14ac:dyDescent="0.35"/>
  <cols>
    <col min="1" max="9" width="22" customWidth="1"/>
  </cols>
  <sheetData>
    <row r="1" spans="1:8" ht="18" customHeight="1" x14ac:dyDescent="0.45">
      <c r="A1" s="1" t="s">
        <v>237</v>
      </c>
      <c r="B1" s="1"/>
      <c r="C1" s="1"/>
      <c r="D1" s="1"/>
      <c r="E1" s="1"/>
      <c r="F1" s="1"/>
      <c r="G1" s="1"/>
      <c r="H1" s="1"/>
    </row>
    <row r="3" spans="1:8" ht="14.25" customHeight="1" x14ac:dyDescent="0.35">
      <c r="A3" s="10" t="s">
        <v>238</v>
      </c>
      <c r="B3" s="10" t="s">
        <v>239</v>
      </c>
      <c r="C3" s="10" t="s">
        <v>240</v>
      </c>
      <c r="D3" s="10" t="s">
        <v>241</v>
      </c>
      <c r="E3" s="10" t="s">
        <v>242</v>
      </c>
      <c r="F3" s="10" t="s">
        <v>243</v>
      </c>
      <c r="H3" t="s">
        <v>243</v>
      </c>
    </row>
    <row r="4" spans="1:8" ht="14.25" customHeight="1" x14ac:dyDescent="0.35">
      <c r="A4" s="12" t="s">
        <v>108</v>
      </c>
      <c r="B4" s="23">
        <f>((Scen_Sales*0.9)*(1-Scen_COGS_Pct) - (Scen_Sales*0.9)*(Scen_Sell_Pct+Scen_Admin_Pct+Scen_RnD_Pct) - (Scen_Sales*0.9)*Scen_DA_Pct)*(1-Scen_Tax) + (Scen_Sales*0.9)*Scen_DA_Pct - Scen_CapEx - (Delta_AR+Delta_Inventory-Delta_AP)</f>
        <v>-43491.598799999971</v>
      </c>
      <c r="C4" s="23">
        <f>((Scen_Sales*1.1)*(1-Scen_COGS_Pct) - (Scen_Sales*1.1)*(Scen_Sell_Pct+Scen_Admin_Pct+Scen_RnD_Pct) - (Scen_Sales*1.1)*Scen_DA_Pct)*(1-Scen_Tax) + (Scen_Sales*1.1)*Scen_DA_Pct - Scen_CapEx - (Delta_AR+Delta_Inventory-Delta_AP)</f>
        <v>-29828.065199999983</v>
      </c>
      <c r="D4" s="23">
        <f t="shared" ref="D4:E10" si="0">B4-$H$4</f>
        <v>-6831.7667999999758</v>
      </c>
      <c r="E4" s="23">
        <f t="shared" si="0"/>
        <v>6831.7668000000122</v>
      </c>
      <c r="F4" s="23">
        <f t="shared" ref="F4:F10" si="1">$H$4</f>
        <v>-36659.831999999995</v>
      </c>
      <c r="H4" s="24">
        <f>EBIT*(1-Tax_Rate)+Depreciation_Amortization-CapEx-(Delta_AR+Delta_Inventory-Delta_AP)</f>
        <v>-36659.831999999995</v>
      </c>
    </row>
    <row r="5" spans="1:8" ht="14.25" customHeight="1" x14ac:dyDescent="0.35">
      <c r="A5" s="12" t="s">
        <v>244</v>
      </c>
      <c r="B5" s="23">
        <f>((Scen_Sales)*(1-(Scen_COGS_Pct+(-0.02))) - (Scen_Sales)*(Scen_Sell_Pct+Scen_Admin_Pct+Scen_RnD_Pct) - (Scen_Sales)*Scen_DA_Pct)*(1-Scen_Tax) + (Scen_Sales)*Scen_DA_Pct - Scen_CapEx - (Delta_AR+Delta_Inventory-Delta_AP)</f>
        <v>-26660.231999999975</v>
      </c>
      <c r="C5" s="23">
        <f>((Scen_Sales)*(1-(Scen_COGS_Pct+(0.02))) - (Scen_Sales)*(Scen_Sell_Pct+Scen_Admin_Pct+Scen_RnD_Pct) - (Scen_Sales)*Scen_DA_Pct)*(1-Scen_Tax) + (Scen_Sales)*Scen_DA_Pct - Scen_CapEx - (Delta_AR+Delta_Inventory-Delta_AP)</f>
        <v>-46659.432000000001</v>
      </c>
      <c r="D5" s="23">
        <f t="shared" si="0"/>
        <v>9999.6000000000204</v>
      </c>
      <c r="E5" s="23">
        <f t="shared" si="0"/>
        <v>-9999.6000000000058</v>
      </c>
      <c r="F5" s="23">
        <f t="shared" si="1"/>
        <v>-36659.831999999995</v>
      </c>
    </row>
    <row r="6" spans="1:8" ht="14.25" customHeight="1" x14ac:dyDescent="0.35">
      <c r="A6" s="12" t="s">
        <v>245</v>
      </c>
      <c r="B6" s="23">
        <f>((Scen_Sales)*(1-Scen_COGS_Pct) - (Scen_Sales)*(Scen_Sell_Pct+Scen_Admin_Pct+Scen_RnD_Pct+(-0.01)) - (Scen_Sales)*Scen_DA_Pct)*(1-Scen_Tax) + (Scen_Sales)*Scen_DA_Pct - Scen_CapEx - (Delta_AR+Delta_Inventory-Delta_AP)</f>
        <v>-31660.031999999977</v>
      </c>
      <c r="C6" s="23">
        <f>((Scen_Sales)*(1-Scen_COGS_Pct) - (Scen_Sales)*(Scen_Sell_Pct+Scen_Admin_Pct+Scen_RnD_Pct+(0.01)) - (Scen_Sales)*Scen_DA_Pct)*(1-Scen_Tax) + (Scen_Sales)*Scen_DA_Pct - Scen_CapEx - (Delta_AR+Delta_Inventory-Delta_AP)</f>
        <v>-41659.631999999983</v>
      </c>
      <c r="D6" s="23">
        <f t="shared" si="0"/>
        <v>4999.8000000000175</v>
      </c>
      <c r="E6" s="23">
        <f t="shared" si="0"/>
        <v>-4999.7999999999884</v>
      </c>
      <c r="F6" s="23">
        <f t="shared" si="1"/>
        <v>-36659.831999999995</v>
      </c>
    </row>
    <row r="7" spans="1:8" ht="14.25" customHeight="1" x14ac:dyDescent="0.35">
      <c r="A7" s="12" t="s">
        <v>246</v>
      </c>
      <c r="B7" s="23">
        <f>((Scen_Sales)*(1-Scen_COGS_Pct) - (Scen_Sales)*(Scen_Sell_Pct+Scen_Admin_Pct+Scen_RnD_Pct) - (Scen_Sales)*(Scen_DA_Pct+(-0.005)))*(1-Scen_Tax) + (Scen_Sales)*(Scen_DA_Pct+(-0.005)) - Scen_CapEx - (Delta_AR+Delta_Inventory-Delta_AP)</f>
        <v>-37159.931999999972</v>
      </c>
      <c r="C7" s="23">
        <f>((Scen_Sales)*(1-Scen_COGS_Pct) - (Scen_Sales)*(Scen_Sell_Pct+Scen_Admin_Pct+Scen_RnD_Pct) - (Scen_Sales)*(Scen_DA_Pct+(0.005)))*(1-Scen_Tax) + (Scen_Sales)*(Scen_DA_Pct+(0.005)) - Scen_CapEx - (Delta_AR+Delta_Inventory-Delta_AP)</f>
        <v>-36159.731999999975</v>
      </c>
      <c r="D7" s="23">
        <f t="shared" si="0"/>
        <v>-500.09999999997672</v>
      </c>
      <c r="E7" s="23">
        <f t="shared" si="0"/>
        <v>500.10000000002037</v>
      </c>
      <c r="F7" s="23">
        <f t="shared" si="1"/>
        <v>-36659.831999999995</v>
      </c>
    </row>
    <row r="8" spans="1:8" ht="14.25" customHeight="1" x14ac:dyDescent="0.35">
      <c r="A8" s="12" t="s">
        <v>103</v>
      </c>
      <c r="B8" s="23">
        <f>((Scen_Sales*0.9)*(1-Scen_COGS_Pct) - (Scen_Sales*0.9)*(Scen_Sell_Pct+Scen_Admin_Pct+Scen_RnD_Pct) - (Scen_Sales*0.9)*Scen_DA_Pct)*(1-Scen_Tax) + (Scen_Sales*0.9)*Scen_DA_Pct - Scen_CapEx - (Delta_AR+Delta_Inventory-Delta_AP)</f>
        <v>-43491.598799999971</v>
      </c>
      <c r="C8" s="23">
        <f>((Scen_Sales)*(1-Scen_COGS_Pct) - (Scen_Sales)*(Scen_Sell_Pct+Scen_Admin_Pct+Scen_RnD_Pct) - (Scen_Sales)*Scen_DA_Pct)*(1-Scen_Tax) + (Scen_Sales)*Scen_DA_Pct - Scen_CapEx - (Delta_AR+Delta_Inventory-Delta_AP)</f>
        <v>-36659.831999999966</v>
      </c>
      <c r="D8" s="23">
        <f t="shared" si="0"/>
        <v>-6831.7667999999758</v>
      </c>
      <c r="E8" s="23">
        <f t="shared" si="0"/>
        <v>0</v>
      </c>
      <c r="F8" s="23">
        <f t="shared" si="1"/>
        <v>-36659.831999999995</v>
      </c>
    </row>
    <row r="9" spans="1:8" ht="14.25" customHeight="1" x14ac:dyDescent="0.35">
      <c r="A9" s="12" t="s">
        <v>102</v>
      </c>
      <c r="B9" s="23">
        <f>((Scen_Sales)*(1-Scen_COGS_Pct) - (Scen_Sales)*(Scen_Sell_Pct+Scen_Admin_Pct+Scen_RnD_Pct) - (Scen_Sales)*Scen_DA_Pct)*(1-(Scen_Tax+(-0.02))) + (Scen_Sales)*Scen_DA_Pct - Scen_CapEx - (Delta_AR+Delta_Inventory-Delta_AP)</f>
        <v>-35260.631999999983</v>
      </c>
      <c r="C9" s="23">
        <f>((Scen_Sales)*(1-Scen_COGS_Pct) - (Scen_Sales)*(Scen_Sell_Pct+Scen_Admin_Pct+Scen_RnD_Pct) - (Scen_Sales)*Scen_DA_Pct)*(1-(Scen_Tax+(0.02))) + (Scen_Sales)*Scen_DA_Pct - Scen_CapEx - (Delta_AR+Delta_Inventory-Delta_AP)</f>
        <v>-38059.031999999977</v>
      </c>
      <c r="D9" s="23">
        <f t="shared" si="0"/>
        <v>1399.2000000000116</v>
      </c>
      <c r="E9" s="23">
        <f t="shared" si="0"/>
        <v>-1399.1999999999825</v>
      </c>
      <c r="F9" s="23">
        <f t="shared" si="1"/>
        <v>-36659.831999999995</v>
      </c>
    </row>
    <row r="10" spans="1:8" ht="14.25" customHeight="1" x14ac:dyDescent="0.35">
      <c r="A10" s="12" t="s">
        <v>247</v>
      </c>
      <c r="B10" s="23">
        <f>((Scen_Sales*0.9)*(1-Scen_COGS_Pct) - (Scen_Sales*0.9)*(Scen_Sell_Pct+Scen_Admin_Pct+Scen_RnD_Pct) - (Scen_Sales*0.9)*Scen_DA_Pct)*(1-Scen_Tax) + (Scen_Sales*0.9)*Scen_DA_Pct - (Scen_CapEx*0.9) - (Delta_AR+Delta_Inventory-Delta_AP)</f>
        <v>-41991.598799999971</v>
      </c>
      <c r="C10" s="23">
        <f>((Scen_Sales)*(1-Scen_COGS_Pct) - (Scen_Sales)*(Scen_Sell_Pct+Scen_Admin_Pct+Scen_RnD_Pct) - (Scen_Sales)*Scen_DA_Pct)*(1-Scen_Tax) + (Scen_Sales)*Scen_DA_Pct - (Scen_CapEx*1.1) - (Delta_AR+Delta_Inventory-Delta_AP)</f>
        <v>-38159.831999999966</v>
      </c>
      <c r="D10" s="23">
        <f t="shared" si="0"/>
        <v>-5331.7667999999758</v>
      </c>
      <c r="E10" s="23">
        <f t="shared" si="0"/>
        <v>-1499.9999999999709</v>
      </c>
      <c r="F10" s="23">
        <f t="shared" si="1"/>
        <v>-36659.831999999995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"/>
  <sheetViews>
    <sheetView zoomScaleNormal="100" workbookViewId="0"/>
  </sheetViews>
  <sheetFormatPr defaultColWidth="8.6328125" defaultRowHeight="14.5" x14ac:dyDescent="0.35"/>
  <cols>
    <col min="1" max="9" width="24" customWidth="1"/>
  </cols>
  <sheetData>
    <row r="1" spans="1:8" ht="18" customHeight="1" x14ac:dyDescent="0.45">
      <c r="A1" s="1" t="s">
        <v>248</v>
      </c>
      <c r="B1" s="1"/>
      <c r="C1" s="1"/>
      <c r="D1" s="1"/>
      <c r="E1" s="1"/>
      <c r="F1" s="1"/>
      <c r="G1" s="1"/>
      <c r="H1" s="1"/>
    </row>
    <row r="3" spans="1:8" ht="14.25" customHeight="1" x14ac:dyDescent="0.35">
      <c r="A3" s="10" t="s">
        <v>238</v>
      </c>
      <c r="B3" s="10" t="s">
        <v>239</v>
      </c>
      <c r="C3" s="10" t="s">
        <v>240</v>
      </c>
      <c r="D3" s="10" t="s">
        <v>241</v>
      </c>
      <c r="E3" s="10" t="s">
        <v>242</v>
      </c>
      <c r="F3" s="10" t="s">
        <v>249</v>
      </c>
      <c r="H3" t="s">
        <v>249</v>
      </c>
    </row>
    <row r="4" spans="1:8" ht="14.25" customHeight="1" x14ac:dyDescent="0.35">
      <c r="A4" s="12" t="s">
        <v>108</v>
      </c>
      <c r="B4" s="23">
        <f>((((Scen_Sales*0.9)*(1-Scen_COGS_Pct) - (Scen_Sales*0.9)*(Scen_Sell_Pct+Scen_Admin_Pct+Scen_RnD_Pct) - (Scen_Sales*0.9)*Scen_DA_Pct)-Scen_Interest)-IF((((Scen_Sales*0.9)*(1-Scen_COGS_Pct) - (Scen_Sales*0.9)*(Scen_Sell_Pct+Scen_Admin_Pct+Scen_RnD_Pct) - (Scen_Sales*0.9)*Scen_DA_Pct)-Scen_Interest)&gt;0,(((Scen_Sales*0.9)*(1-Scen_COGS_Pct) - (Scen_Sales*0.9)*(Scen_Sell_Pct+Scen_Admin_Pct+Scen_RnD_Pct) - (Scen_Sales*0.9)*Scen_DA_Pct)-Scen_Interest)*Scen_Tax,0))</f>
        <v>44134.901200000022</v>
      </c>
      <c r="C4" s="23">
        <f>((((Scen_Sales*1.1)*(1-Scen_COGS_Pct) - (Scen_Sales*1.1)*(Scen_Sell_Pct+Scen_Admin_Pct+Scen_RnD_Pct) - (Scen_Sales*1.1)*Scen_DA_Pct)-Scen_Interest)-IF((((Scen_Sales*1.1)*(1-Scen_COGS_Pct) - (Scen_Sales*1.1)*(Scen_Sell_Pct+Scen_Admin_Pct+Scen_RnD_Pct) - (Scen_Sales*1.1)*Scen_DA_Pct)-Scen_Interest)&gt;0,(((Scen_Sales*1.1)*(1-Scen_COGS_Pct) - (Scen_Sales*1.1)*(Scen_Sell_Pct+Scen_Admin_Pct+Scen_RnD_Pct) - (Scen_Sales*1.1)*Scen_DA_Pct)-Scen_Interest)*Scen_Tax,0))</f>
        <v>55794.434800000025</v>
      </c>
      <c r="D4" s="23">
        <f t="shared" ref="D4:E9" si="0">B4-$H$4</f>
        <v>-5829.766799999983</v>
      </c>
      <c r="E4" s="23">
        <f t="shared" si="0"/>
        <v>5829.7668000000194</v>
      </c>
      <c r="F4" s="23">
        <f t="shared" ref="F4:F9" si="1">$H$4</f>
        <v>49964.668000000005</v>
      </c>
      <c r="H4" s="24">
        <f>Net_Income_IS</f>
        <v>49964.668000000005</v>
      </c>
    </row>
    <row r="5" spans="1:8" ht="14.25" customHeight="1" x14ac:dyDescent="0.35">
      <c r="A5" s="12" t="s">
        <v>244</v>
      </c>
      <c r="B5" s="23">
        <f>((((Scen_Sales)*(1-(Scen_COGS_Pct+(-0.02))) - (Scen_Sales)*(Scen_Sell_Pct+Scen_Admin_Pct+Scen_RnD_Pct) - (Scen_Sales)*Scen_DA_Pct)-Scen_Interest)-IF((((Scen_Sales)*(1-(Scen_COGS_Pct+(-0.02))) - (Scen_Sales)*(Scen_Sell_Pct+Scen_Admin_Pct+Scen_RnD_Pct) - (Scen_Sales)*Scen_DA_Pct)-Scen_Interest)&gt;0,(((Scen_Sales)*(1-(Scen_COGS_Pct+(-0.02))) - (Scen_Sales)*(Scen_Sell_Pct+Scen_Admin_Pct+Scen_RnD_Pct) - (Scen_Sales)*Scen_DA_Pct)-Scen_Interest)*Scen_Tax,0))</f>
        <v>59964.268000000025</v>
      </c>
      <c r="C5" s="23">
        <f>((((Scen_Sales)*(1-(Scen_COGS_Pct+(0.02))) - (Scen_Sales)*(Scen_Sell_Pct+Scen_Admin_Pct+Scen_RnD_Pct) - (Scen_Sales)*Scen_DA_Pct)-Scen_Interest)-IF((((Scen_Sales)*(1-(Scen_COGS_Pct+(0.02))) - (Scen_Sales)*(Scen_Sell_Pct+Scen_Admin_Pct+Scen_RnD_Pct) - (Scen_Sales)*Scen_DA_Pct)-Scen_Interest)&gt;0,(((Scen_Sales)*(1-(Scen_COGS_Pct+(0.02))) - (Scen_Sales)*(Scen_Sell_Pct+Scen_Admin_Pct+Scen_RnD_Pct) - (Scen_Sales)*Scen_DA_Pct)-Scen_Interest)*Scen_Tax,0))</f>
        <v>39965.067999999999</v>
      </c>
      <c r="D5" s="23">
        <f t="shared" si="0"/>
        <v>9999.6000000000204</v>
      </c>
      <c r="E5" s="23">
        <f t="shared" si="0"/>
        <v>-9999.6000000000058</v>
      </c>
      <c r="F5" s="23">
        <f t="shared" si="1"/>
        <v>49964.668000000005</v>
      </c>
    </row>
    <row r="6" spans="1:8" ht="14.25" customHeight="1" x14ac:dyDescent="0.35">
      <c r="A6" s="12" t="s">
        <v>245</v>
      </c>
      <c r="B6" s="23">
        <f>((((Scen_Sales)*(1-Scen_COGS_Pct) - (Scen_Sales)*(Scen_Sell_Pct+Scen_Admin_Pct+Scen_RnD_Pct+(-0.01)) - (Scen_Sales)*Scen_DA_Pct)-Scen_Interest)-IF((((Scen_Sales)*(1-Scen_COGS_Pct) - (Scen_Sales)*(Scen_Sell_Pct+Scen_Admin_Pct+Scen_RnD_Pct+(-0.01)) - (Scen_Sales)*Scen_DA_Pct)-Scen_Interest)&gt;0,(((Scen_Sales)*(1-Scen_COGS_Pct) - (Scen_Sales)*(Scen_Sell_Pct+Scen_Admin_Pct+Scen_RnD_Pct+(-0.01)) - (Scen_Sales)*Scen_DA_Pct)-Scen_Interest)*Scen_Tax,0))</f>
        <v>54964.468000000023</v>
      </c>
      <c r="C6" s="23">
        <f>((((Scen_Sales)*(1-Scen_COGS_Pct) - (Scen_Sales)*(Scen_Sell_Pct+Scen_Admin_Pct+Scen_RnD_Pct+(0.01)) - (Scen_Sales)*Scen_DA_Pct)-Scen_Interest)-IF((((Scen_Sales)*(1-Scen_COGS_Pct) - (Scen_Sales)*(Scen_Sell_Pct+Scen_Admin_Pct+Scen_RnD_Pct+(0.01)) - (Scen_Sales)*Scen_DA_Pct)-Scen_Interest)&gt;0,(((Scen_Sales)*(1-Scen_COGS_Pct) - (Scen_Sales)*(Scen_Sell_Pct+Scen_Admin_Pct+Scen_RnD_Pct+(0.01)) - (Scen_Sales)*Scen_DA_Pct)-Scen_Interest)*Scen_Tax,0))</f>
        <v>44964.868000000017</v>
      </c>
      <c r="D6" s="23">
        <f t="shared" si="0"/>
        <v>4999.8000000000175</v>
      </c>
      <c r="E6" s="23">
        <f t="shared" si="0"/>
        <v>-4999.7999999999884</v>
      </c>
      <c r="F6" s="23">
        <f t="shared" si="1"/>
        <v>49964.668000000005</v>
      </c>
    </row>
    <row r="7" spans="1:8" ht="14.25" customHeight="1" x14ac:dyDescent="0.35">
      <c r="A7" s="12" t="s">
        <v>246</v>
      </c>
      <c r="B7" s="23">
        <f>((((Scen_Sales)*(1-Scen_COGS_Pct) - (Scen_Sales)*(Scen_Sell_Pct+Scen_Admin_Pct+Scen_RnD_Pct) - (Scen_Sales)*(Scen_DA_Pct+(-0.005)))-Scen_Interest)-IF((((Scen_Sales)*(1-Scen_COGS_Pct) - (Scen_Sales)*(Scen_Sell_Pct+Scen_Admin_Pct+Scen_RnD_Pct) - (Scen_Sales)*(Scen_DA_Pct+(-0.005)))-Scen_Interest)&gt;0,(((Scen_Sales)*(1-Scen_COGS_Pct) - (Scen_Sales)*(Scen_Sell_Pct+Scen_Admin_Pct+Scen_RnD_Pct) - (Scen_Sales)*(Scen_DA_Pct+(-0.005)))-Scen_Interest)*Scen_Tax,0))</f>
        <v>52464.568000000028</v>
      </c>
      <c r="C7" s="23">
        <f>((((Scen_Sales)*(1-Scen_COGS_Pct) - (Scen_Sales)*(Scen_Sell_Pct+Scen_Admin_Pct+Scen_RnD_Pct) - (Scen_Sales)*(Scen_DA_Pct+(0.005)))-Scen_Interest)-IF((((Scen_Sales)*(1-Scen_COGS_Pct) - (Scen_Sales)*(Scen_Sell_Pct+Scen_Admin_Pct+Scen_RnD_Pct) - (Scen_Sales)*(Scen_DA_Pct+(0.005)))-Scen_Interest)&gt;0,(((Scen_Sales)*(1-Scen_COGS_Pct) - (Scen_Sales)*(Scen_Sell_Pct+Scen_Admin_Pct+Scen_RnD_Pct) - (Scen_Sales)*(Scen_DA_Pct+(0.005)))-Scen_Interest)*Scen_Tax,0))</f>
        <v>47464.768000000025</v>
      </c>
      <c r="D7" s="23">
        <f t="shared" si="0"/>
        <v>2499.9000000000233</v>
      </c>
      <c r="E7" s="23">
        <f t="shared" si="0"/>
        <v>-2499.8999999999796</v>
      </c>
      <c r="F7" s="23">
        <f t="shared" si="1"/>
        <v>49964.668000000005</v>
      </c>
    </row>
    <row r="8" spans="1:8" ht="14.25" customHeight="1" x14ac:dyDescent="0.35">
      <c r="A8" s="12" t="s">
        <v>103</v>
      </c>
      <c r="B8" s="23">
        <f>((((Scen_Sales)*(1-Scen_COGS_Pct) - (Scen_Sales)*(Scen_Sell_Pct+Scen_Admin_Pct+Scen_RnD_Pct) - (Scen_Sales)*Scen_DA_Pct)-(Scen_Interest*0.9))-IF((((Scen_Sales)*(1-Scen_COGS_Pct) - (Scen_Sales)*(Scen_Sell_Pct+Scen_Admin_Pct+Scen_RnD_Pct) - (Scen_Sales)*Scen_DA_Pct)-(Scen_Interest*0.9))&gt;0,(((Scen_Sales)*(1-Scen_COGS_Pct) - (Scen_Sales)*(Scen_Sell_Pct+Scen_Admin_Pct+Scen_RnD_Pct) - (Scen_Sales)*Scen_DA_Pct)-(Scen_Interest*0.9))*Scen_Tax,0))</f>
        <v>50797.968000000023</v>
      </c>
      <c r="C8" s="23">
        <f>((((Scen_Sales)*(1-Scen_COGS_Pct) - (Scen_Sales)*(Scen_Sell_Pct+Scen_Admin_Pct+Scen_RnD_Pct) - (Scen_Sales)*Scen_DA_Pct)-(Scen_Interest*1.1))-IF((((Scen_Sales)*(1-Scen_COGS_Pct) - (Scen_Sales)*(Scen_Sell_Pct+Scen_Admin_Pct+Scen_RnD_Pct) - (Scen_Sales)*Scen_DA_Pct)-(Scen_Interest*1.1))&gt;0,(((Scen_Sales)*(1-Scen_COGS_Pct) - (Scen_Sales)*(Scen_Sell_Pct+Scen_Admin_Pct+Scen_RnD_Pct) - (Scen_Sales)*Scen_DA_Pct)-(Scen_Interest*1.1))*Scen_Tax,0))</f>
        <v>49131.368000000024</v>
      </c>
      <c r="D8" s="23">
        <f t="shared" si="0"/>
        <v>833.30000000001746</v>
      </c>
      <c r="E8" s="23">
        <f t="shared" si="0"/>
        <v>-833.29999999998108</v>
      </c>
      <c r="F8" s="23">
        <f t="shared" si="1"/>
        <v>49964.668000000005</v>
      </c>
    </row>
    <row r="9" spans="1:8" ht="14.25" customHeight="1" x14ac:dyDescent="0.35">
      <c r="A9" s="12" t="s">
        <v>102</v>
      </c>
      <c r="B9" s="23">
        <f>((((Scen_Sales)*(1-Scen_COGS_Pct) - (Scen_Sales)*(Scen_Sell_Pct+Scen_Admin_Pct+Scen_RnD_Pct) - (Scen_Sales)*Scen_DA_Pct)-Scen_Interest)-IF((((Scen_Sales)*(1-Scen_COGS_Pct) - (Scen_Sales)*(Scen_Sell_Pct+Scen_Admin_Pct+Scen_RnD_Pct) - (Scen_Sales)*Scen_DA_Pct)-Scen_Interest)&gt;0,(((Scen_Sales)*(1-Scen_COGS_Pct) - (Scen_Sales)*(Scen_Sell_Pct+Scen_Admin_Pct+Scen_RnD_Pct) - (Scen_Sales)*Scen_DA_Pct)-Scen_Interest)*(Scen_Tax+(-0.02)),0))</f>
        <v>51163.868000000024</v>
      </c>
      <c r="C9" s="23">
        <f>((((Scen_Sales)*(1-Scen_COGS_Pct) - (Scen_Sales)*(Scen_Sell_Pct+Scen_Admin_Pct+Scen_RnD_Pct) - (Scen_Sales)*Scen_DA_Pct)-Scen_Interest)-IF((((Scen_Sales)*(1-Scen_COGS_Pct) - (Scen_Sales)*(Scen_Sell_Pct+Scen_Admin_Pct+Scen_RnD_Pct) - (Scen_Sales)*Scen_DA_Pct)-Scen_Interest)&gt;0,(((Scen_Sales)*(1-Scen_COGS_Pct) - (Scen_Sales)*(Scen_Sell_Pct+Scen_Admin_Pct+Scen_RnD_Pct) - (Scen_Sales)*Scen_DA_Pct)-Scen_Interest)*(Scen_Tax+(0.02)),0))</f>
        <v>48765.468000000023</v>
      </c>
      <c r="D9" s="23">
        <f t="shared" si="0"/>
        <v>1199.2000000000189</v>
      </c>
      <c r="E9" s="23">
        <f t="shared" si="0"/>
        <v>-1199.1999999999825</v>
      </c>
      <c r="F9" s="23">
        <f t="shared" si="1"/>
        <v>49964.668000000005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100" workbookViewId="0">
      <selection activeCell="D9" sqref="D9"/>
    </sheetView>
  </sheetViews>
  <sheetFormatPr defaultColWidth="8.6328125" defaultRowHeight="14.5" x14ac:dyDescent="0.35"/>
  <cols>
    <col min="1" max="2" width="36" customWidth="1"/>
    <col min="3" max="3" width="26" customWidth="1"/>
  </cols>
  <sheetData>
    <row r="1" spans="1:6" ht="18" customHeight="1" x14ac:dyDescent="0.45">
      <c r="A1" s="1" t="s">
        <v>89</v>
      </c>
      <c r="B1" s="1"/>
      <c r="C1" s="1"/>
      <c r="D1" s="1"/>
      <c r="E1" s="1"/>
    </row>
    <row r="3" spans="1:6" ht="15" customHeight="1" x14ac:dyDescent="0.35">
      <c r="A3" s="2" t="s">
        <v>1</v>
      </c>
    </row>
    <row r="5" spans="1:6" ht="14.25" customHeight="1" x14ac:dyDescent="0.35">
      <c r="A5" s="12" t="s">
        <v>11</v>
      </c>
      <c r="B5" s="4">
        <f>Scen_Sales</f>
        <v>600000</v>
      </c>
      <c r="E5" s="11" t="s">
        <v>90</v>
      </c>
    </row>
    <row r="6" spans="1:6" ht="14.25" customHeight="1" x14ac:dyDescent="0.35">
      <c r="A6" s="12" t="s">
        <v>91</v>
      </c>
      <c r="B6" s="4">
        <f>B5*Scen_COGS_Pct</f>
        <v>400020</v>
      </c>
      <c r="E6" s="14" t="s">
        <v>92</v>
      </c>
      <c r="F6" s="14" t="s">
        <v>93</v>
      </c>
    </row>
    <row r="7" spans="1:6" ht="14.25" customHeight="1" x14ac:dyDescent="0.35">
      <c r="A7" s="12" t="s">
        <v>94</v>
      </c>
      <c r="B7" s="4">
        <f>B5*Scen_Sell_Pct</f>
        <v>60000</v>
      </c>
      <c r="E7" t="s">
        <v>91</v>
      </c>
      <c r="F7" s="6">
        <f t="shared" ref="F7:F12" si="0">B6</f>
        <v>400020</v>
      </c>
    </row>
    <row r="8" spans="1:6" ht="14.25" customHeight="1" x14ac:dyDescent="0.35">
      <c r="A8" s="12" t="s">
        <v>95</v>
      </c>
      <c r="B8" s="4">
        <f>B5*Scen_Admin_Pct</f>
        <v>40020</v>
      </c>
      <c r="E8" t="s">
        <v>96</v>
      </c>
      <c r="F8" s="6">
        <f t="shared" si="0"/>
        <v>60000</v>
      </c>
    </row>
    <row r="9" spans="1:6" ht="14.25" customHeight="1" x14ac:dyDescent="0.35">
      <c r="A9" s="12" t="s">
        <v>97</v>
      </c>
      <c r="B9" s="4">
        <f>B5*Scen_RnD_Pct</f>
        <v>19980.000000000004</v>
      </c>
      <c r="E9" t="s">
        <v>98</v>
      </c>
      <c r="F9" s="6">
        <f t="shared" si="0"/>
        <v>40020</v>
      </c>
    </row>
    <row r="10" spans="1:6" ht="14.25" customHeight="1" x14ac:dyDescent="0.35">
      <c r="A10" s="12" t="s">
        <v>99</v>
      </c>
      <c r="B10" s="4">
        <f>B5*Scen_DA_Pct</f>
        <v>10020</v>
      </c>
      <c r="E10" t="s">
        <v>100</v>
      </c>
      <c r="F10" s="6">
        <f t="shared" si="0"/>
        <v>19980.000000000004</v>
      </c>
    </row>
    <row r="11" spans="1:6" ht="14.25" customHeight="1" x14ac:dyDescent="0.35">
      <c r="A11" s="12" t="s">
        <v>15</v>
      </c>
      <c r="B11" s="4">
        <f>Scen_Interest</f>
        <v>10000</v>
      </c>
      <c r="E11" t="s">
        <v>101</v>
      </c>
      <c r="F11" s="6">
        <f t="shared" si="0"/>
        <v>10020</v>
      </c>
    </row>
    <row r="12" spans="1:6" ht="14.25" customHeight="1" x14ac:dyDescent="0.35">
      <c r="A12" s="12" t="s">
        <v>102</v>
      </c>
      <c r="B12" s="15">
        <f>Scen_Tax</f>
        <v>0.16669999999999999</v>
      </c>
      <c r="E12" t="s">
        <v>103</v>
      </c>
      <c r="F12" s="6">
        <f t="shared" si="0"/>
        <v>10000</v>
      </c>
    </row>
    <row r="14" spans="1:6" ht="15" customHeight="1" x14ac:dyDescent="0.35">
      <c r="A14" s="2" t="s">
        <v>104</v>
      </c>
      <c r="C14" s="21" t="s">
        <v>105</v>
      </c>
      <c r="E14" s="11" t="s">
        <v>106</v>
      </c>
    </row>
    <row r="15" spans="1:6" ht="14.25" customHeight="1" x14ac:dyDescent="0.35">
      <c r="A15" s="12" t="s">
        <v>11</v>
      </c>
      <c r="B15" s="4">
        <f>B5</f>
        <v>600000</v>
      </c>
      <c r="C15" s="22">
        <f>B15/B15</f>
        <v>1</v>
      </c>
      <c r="E15" s="14" t="s">
        <v>107</v>
      </c>
      <c r="F15" s="14" t="s">
        <v>93</v>
      </c>
    </row>
    <row r="16" spans="1:6" ht="14.25" customHeight="1" x14ac:dyDescent="0.35">
      <c r="A16" s="12" t="s">
        <v>12</v>
      </c>
      <c r="B16" s="4">
        <f>B6</f>
        <v>400020</v>
      </c>
      <c r="C16" s="22">
        <f>B16/B15</f>
        <v>0.66669999999999996</v>
      </c>
      <c r="E16" t="s">
        <v>108</v>
      </c>
      <c r="F16" s="6">
        <f>B15</f>
        <v>600000</v>
      </c>
    </row>
    <row r="17" spans="1:6" ht="14.25" customHeight="1" x14ac:dyDescent="0.35">
      <c r="A17" s="12" t="s">
        <v>13</v>
      </c>
      <c r="B17" s="12">
        <f>B15-B16</f>
        <v>199980</v>
      </c>
      <c r="C17" s="22">
        <f>B17/B15</f>
        <v>0.33329999999999999</v>
      </c>
      <c r="E17" t="s">
        <v>13</v>
      </c>
      <c r="F17" s="6">
        <f>B17</f>
        <v>199980</v>
      </c>
    </row>
    <row r="18" spans="1:6" ht="14.25" customHeight="1" x14ac:dyDescent="0.35">
      <c r="A18" s="12" t="s">
        <v>109</v>
      </c>
      <c r="B18" s="12">
        <f>B7+B8+B9</f>
        <v>120000</v>
      </c>
      <c r="C18" s="22">
        <f>B18/B15</f>
        <v>0.2</v>
      </c>
      <c r="E18" t="s">
        <v>110</v>
      </c>
      <c r="F18" s="6">
        <f>B19</f>
        <v>79980</v>
      </c>
    </row>
    <row r="19" spans="1:6" ht="14.25" customHeight="1" x14ac:dyDescent="0.35">
      <c r="A19" s="12" t="s">
        <v>110</v>
      </c>
      <c r="B19" s="12">
        <f>B17-B18</f>
        <v>79980</v>
      </c>
      <c r="C19" s="22">
        <f>B19/B15</f>
        <v>0.1333</v>
      </c>
      <c r="E19" t="s">
        <v>16</v>
      </c>
      <c r="F19" s="6">
        <f>B21</f>
        <v>69960</v>
      </c>
    </row>
    <row r="20" spans="1:6" ht="14.25" customHeight="1" x14ac:dyDescent="0.35">
      <c r="A20" s="12" t="s">
        <v>99</v>
      </c>
      <c r="B20" s="4">
        <f>B10</f>
        <v>10020</v>
      </c>
      <c r="C20" s="22">
        <f>B20/B15</f>
        <v>1.67E-2</v>
      </c>
      <c r="E20" t="s">
        <v>111</v>
      </c>
      <c r="F20" s="6">
        <f>B23</f>
        <v>59960</v>
      </c>
    </row>
    <row r="21" spans="1:6" ht="14.25" customHeight="1" x14ac:dyDescent="0.35">
      <c r="A21" s="12" t="s">
        <v>16</v>
      </c>
      <c r="B21" s="12">
        <f>B19-B20</f>
        <v>69960</v>
      </c>
      <c r="C21" s="22">
        <f>B21/B15</f>
        <v>0.1166</v>
      </c>
      <c r="E21" t="s">
        <v>112</v>
      </c>
      <c r="F21" s="6">
        <f>B25</f>
        <v>49964.668000000005</v>
      </c>
    </row>
    <row r="22" spans="1:6" ht="14.25" customHeight="1" x14ac:dyDescent="0.35">
      <c r="A22" s="12" t="s">
        <v>15</v>
      </c>
      <c r="B22" s="4">
        <f>B11</f>
        <v>10000</v>
      </c>
      <c r="C22" s="22">
        <f>B22/B15</f>
        <v>1.6666666666666666E-2</v>
      </c>
    </row>
    <row r="23" spans="1:6" ht="14.25" customHeight="1" x14ac:dyDescent="0.35">
      <c r="A23" s="12" t="s">
        <v>113</v>
      </c>
      <c r="B23" s="12">
        <f>B21-B22</f>
        <v>59960</v>
      </c>
      <c r="C23" s="22">
        <f>B23/B15</f>
        <v>9.9933333333333332E-2</v>
      </c>
    </row>
    <row r="24" spans="1:6" ht="14.25" customHeight="1" x14ac:dyDescent="0.35">
      <c r="A24" s="12" t="s">
        <v>114</v>
      </c>
      <c r="B24" s="12">
        <f>B23*B12</f>
        <v>9995.3319999999985</v>
      </c>
      <c r="C24" s="22">
        <f>B24/B15</f>
        <v>1.6658886666666664E-2</v>
      </c>
    </row>
    <row r="25" spans="1:6" ht="14.25" customHeight="1" x14ac:dyDescent="0.35">
      <c r="A25" s="12" t="s">
        <v>112</v>
      </c>
      <c r="B25" s="12">
        <f>B23-B24</f>
        <v>49964.668000000005</v>
      </c>
      <c r="C25" s="22">
        <f>B25/B15</f>
        <v>8.3274446666666668E-2</v>
      </c>
    </row>
    <row r="27" spans="1:6" ht="14.25" customHeight="1" x14ac:dyDescent="0.35">
      <c r="A27" t="s">
        <v>115</v>
      </c>
    </row>
    <row r="28" spans="1:6" ht="14.25" customHeight="1" x14ac:dyDescent="0.35">
      <c r="A28" t="s">
        <v>116</v>
      </c>
    </row>
    <row r="29" spans="1:6" ht="14.25" customHeight="1" x14ac:dyDescent="0.35">
      <c r="A29" t="s">
        <v>117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"/>
  <sheetViews>
    <sheetView zoomScaleNormal="100" workbookViewId="0">
      <selection activeCell="B18" sqref="B18"/>
    </sheetView>
  </sheetViews>
  <sheetFormatPr defaultColWidth="8.6328125" defaultRowHeight="14.5" x14ac:dyDescent="0.35"/>
  <cols>
    <col min="1" max="6" width="28" customWidth="1"/>
  </cols>
  <sheetData>
    <row r="1" spans="1:12" ht="18" customHeight="1" x14ac:dyDescent="0.45">
      <c r="A1" s="1" t="s">
        <v>118</v>
      </c>
      <c r="B1" s="1"/>
      <c r="C1" s="1"/>
      <c r="D1" s="1"/>
      <c r="E1" s="1"/>
    </row>
    <row r="3" spans="1:12" ht="15" customHeight="1" x14ac:dyDescent="0.35">
      <c r="A3" s="2" t="s">
        <v>119</v>
      </c>
      <c r="D3" s="2" t="s">
        <v>120</v>
      </c>
    </row>
    <row r="4" spans="1:12" ht="14.25" customHeight="1" x14ac:dyDescent="0.35">
      <c r="A4" s="10" t="s">
        <v>92</v>
      </c>
      <c r="B4" s="10" t="s">
        <v>93</v>
      </c>
      <c r="C4" s="10" t="s">
        <v>121</v>
      </c>
      <c r="D4" s="10" t="s">
        <v>92</v>
      </c>
      <c r="E4" s="10" t="s">
        <v>93</v>
      </c>
      <c r="F4" s="10" t="s">
        <v>121</v>
      </c>
      <c r="H4" s="14" t="s">
        <v>122</v>
      </c>
      <c r="I4" s="14" t="s">
        <v>93</v>
      </c>
      <c r="K4" s="14" t="s">
        <v>123</v>
      </c>
      <c r="L4" s="14" t="s">
        <v>93</v>
      </c>
    </row>
    <row r="5" spans="1:12" ht="14.25" customHeight="1" x14ac:dyDescent="0.35">
      <c r="A5" s="12" t="s">
        <v>124</v>
      </c>
      <c r="B5" s="4">
        <f>Ratios!B5-Ratios!B8-Ratios!B9</f>
        <v>60000</v>
      </c>
      <c r="C5" s="15">
        <f>B5/Ratios!B7</f>
        <v>0.12</v>
      </c>
      <c r="D5" s="12" t="s">
        <v>7</v>
      </c>
      <c r="E5" s="4">
        <f>Ratios!B10</f>
        <v>50000</v>
      </c>
      <c r="F5" s="15">
        <f>E5/Ratios!B7</f>
        <v>0.1</v>
      </c>
      <c r="H5" t="s">
        <v>125</v>
      </c>
      <c r="I5" s="6">
        <f>B5</f>
        <v>60000</v>
      </c>
      <c r="K5" t="s">
        <v>7</v>
      </c>
      <c r="L5" s="6">
        <f>E5</f>
        <v>50000</v>
      </c>
    </row>
    <row r="6" spans="1:12" ht="14.25" customHeight="1" x14ac:dyDescent="0.35">
      <c r="A6" s="12" t="s">
        <v>6</v>
      </c>
      <c r="B6" s="4">
        <f>Ratios!B9</f>
        <v>80000</v>
      </c>
      <c r="C6" s="15">
        <f>B6/Ratios!B7</f>
        <v>0.16</v>
      </c>
      <c r="D6" s="12" t="s">
        <v>126</v>
      </c>
      <c r="E6" s="4">
        <f>Ratios!B11-Ratios!B10</f>
        <v>50000</v>
      </c>
      <c r="F6" s="15">
        <f>E6/Ratios!B7</f>
        <v>0.1</v>
      </c>
      <c r="H6" t="s">
        <v>6</v>
      </c>
      <c r="I6" s="6">
        <f>B6</f>
        <v>80000</v>
      </c>
      <c r="K6" t="s">
        <v>127</v>
      </c>
      <c r="L6" s="6">
        <f>E6</f>
        <v>50000</v>
      </c>
    </row>
    <row r="7" spans="1:12" ht="14.25" customHeight="1" x14ac:dyDescent="0.35">
      <c r="A7" s="12" t="s">
        <v>5</v>
      </c>
      <c r="B7" s="4">
        <f>Ratios!B8</f>
        <v>60000</v>
      </c>
      <c r="C7" s="15">
        <f>B7/Ratios!B7</f>
        <v>0.12</v>
      </c>
      <c r="D7" s="12" t="s">
        <v>128</v>
      </c>
      <c r="E7" s="4">
        <f>Ratios!B11</f>
        <v>100000</v>
      </c>
      <c r="F7" s="15">
        <f>E7/Ratios!B7</f>
        <v>0.2</v>
      </c>
      <c r="H7" t="s">
        <v>5</v>
      </c>
      <c r="I7" s="6">
        <f>B7</f>
        <v>60000</v>
      </c>
      <c r="K7" t="s">
        <v>9</v>
      </c>
      <c r="L7" s="6">
        <f>E8</f>
        <v>150000</v>
      </c>
    </row>
    <row r="8" spans="1:12" ht="14.25" customHeight="1" x14ac:dyDescent="0.35">
      <c r="A8" s="12" t="s">
        <v>129</v>
      </c>
      <c r="B8" s="4">
        <f>Ratios!B5</f>
        <v>200000</v>
      </c>
      <c r="C8" s="15">
        <f>B8/Ratios!B7</f>
        <v>0.4</v>
      </c>
      <c r="D8" s="12" t="s">
        <v>9</v>
      </c>
      <c r="E8" s="4">
        <f>Ratios!B12</f>
        <v>150000</v>
      </c>
      <c r="F8" s="15">
        <f>E8/Ratios!B7</f>
        <v>0.3</v>
      </c>
      <c r="H8" t="s">
        <v>3</v>
      </c>
      <c r="I8" s="6">
        <f>B9</f>
        <v>300000</v>
      </c>
      <c r="K8" t="s">
        <v>10</v>
      </c>
      <c r="L8" s="6">
        <f>E9</f>
        <v>250000</v>
      </c>
    </row>
    <row r="9" spans="1:12" ht="14.25" customHeight="1" x14ac:dyDescent="0.35">
      <c r="A9" s="12" t="s">
        <v>3</v>
      </c>
      <c r="B9" s="4">
        <f>Ratios!B6</f>
        <v>300000</v>
      </c>
      <c r="C9" s="15">
        <f>B9/Ratios!B7</f>
        <v>0.6</v>
      </c>
      <c r="D9" s="12" t="s">
        <v>10</v>
      </c>
      <c r="E9" s="4">
        <f>Ratios!B13</f>
        <v>250000</v>
      </c>
      <c r="F9" s="15">
        <f>E9/Ratios!B7</f>
        <v>0.5</v>
      </c>
    </row>
    <row r="10" spans="1:12" ht="14.25" customHeight="1" x14ac:dyDescent="0.35">
      <c r="A10" s="12" t="s">
        <v>130</v>
      </c>
      <c r="B10" s="4">
        <f>Ratios!B7</f>
        <v>500000</v>
      </c>
      <c r="C10" s="15">
        <f>B10/Ratios!B7</f>
        <v>1</v>
      </c>
      <c r="D10" s="12" t="s">
        <v>131</v>
      </c>
      <c r="E10" s="4">
        <f>Ratios!B11+Ratios!B12+Ratios!B13</f>
        <v>500000</v>
      </c>
      <c r="F10" s="15">
        <f>E10/Ratios!B7</f>
        <v>1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zoomScaleNormal="100" workbookViewId="0">
      <selection sqref="A1:F1"/>
    </sheetView>
  </sheetViews>
  <sheetFormatPr defaultColWidth="8.6328125" defaultRowHeight="14.5" x14ac:dyDescent="0.35"/>
  <cols>
    <col min="1" max="3" width="34" customWidth="1"/>
  </cols>
  <sheetData>
    <row r="1" spans="1:8" ht="18" customHeight="1" x14ac:dyDescent="0.45">
      <c r="A1" s="1" t="s">
        <v>132</v>
      </c>
      <c r="B1" s="1"/>
      <c r="C1" s="1"/>
      <c r="D1" s="1"/>
      <c r="E1" s="1"/>
      <c r="F1" s="1"/>
    </row>
    <row r="3" spans="1:8" ht="15" customHeight="1" x14ac:dyDescent="0.35">
      <c r="A3" s="2" t="s">
        <v>1</v>
      </c>
    </row>
    <row r="5" spans="1:8" ht="14.25" customHeight="1" x14ac:dyDescent="0.35">
      <c r="A5" s="12" t="s">
        <v>133</v>
      </c>
      <c r="B5" s="23">
        <v>30000</v>
      </c>
    </row>
    <row r="6" spans="1:8" ht="14.25" customHeight="1" x14ac:dyDescent="0.35">
      <c r="A6" s="12" t="s">
        <v>134</v>
      </c>
      <c r="B6" s="23">
        <f>Sales*Scen_DAR_Pct</f>
        <v>79980</v>
      </c>
    </row>
    <row r="7" spans="1:8" ht="14.25" customHeight="1" x14ac:dyDescent="0.35">
      <c r="A7" s="12" t="s">
        <v>135</v>
      </c>
      <c r="B7" s="23">
        <f>Sales*Scen_DInv_Pct</f>
        <v>60000</v>
      </c>
    </row>
    <row r="8" spans="1:8" ht="14.25" customHeight="1" x14ac:dyDescent="0.35">
      <c r="A8" s="12" t="s">
        <v>136</v>
      </c>
      <c r="B8" s="23">
        <f>COGS*Scen_DAP_Pct</f>
        <v>50002.5</v>
      </c>
    </row>
    <row r="9" spans="1:8" ht="14.25" customHeight="1" x14ac:dyDescent="0.35">
      <c r="A9" s="12" t="s">
        <v>137</v>
      </c>
      <c r="B9" s="23">
        <f>Scen_CapEx</f>
        <v>15000</v>
      </c>
    </row>
    <row r="10" spans="1:8" ht="14.25" customHeight="1" x14ac:dyDescent="0.35">
      <c r="A10" s="12" t="s">
        <v>138</v>
      </c>
      <c r="B10" s="23">
        <v>5000</v>
      </c>
    </row>
    <row r="11" spans="1:8" ht="14.25" customHeight="1" x14ac:dyDescent="0.35">
      <c r="A11" s="12" t="s">
        <v>139</v>
      </c>
      <c r="B11" s="23">
        <v>0</v>
      </c>
    </row>
    <row r="12" spans="1:8" ht="14.25" customHeight="1" x14ac:dyDescent="0.35">
      <c r="A12" s="12" t="s">
        <v>140</v>
      </c>
      <c r="B12" s="23">
        <f>Ratios!B22*Ratios!B20</f>
        <v>20000</v>
      </c>
    </row>
    <row r="13" spans="1:8" ht="14.25" customHeight="1" x14ac:dyDescent="0.35">
      <c r="B13" s="24"/>
    </row>
    <row r="14" spans="1:8" ht="15" customHeight="1" x14ac:dyDescent="0.35">
      <c r="A14" s="2" t="s">
        <v>141</v>
      </c>
      <c r="B14" s="24"/>
      <c r="D14" s="11" t="s">
        <v>142</v>
      </c>
      <c r="G14" s="11" t="s">
        <v>143</v>
      </c>
    </row>
    <row r="15" spans="1:8" ht="14.25" customHeight="1" x14ac:dyDescent="0.35">
      <c r="A15" s="12" t="s">
        <v>112</v>
      </c>
      <c r="B15" s="23">
        <f>'Income Statement'!B25</f>
        <v>49964.668000000005</v>
      </c>
      <c r="D15" s="14" t="s">
        <v>144</v>
      </c>
      <c r="E15" s="14" t="s">
        <v>145</v>
      </c>
      <c r="G15" s="14" t="s">
        <v>146</v>
      </c>
      <c r="H15" s="14" t="s">
        <v>93</v>
      </c>
    </row>
    <row r="16" spans="1:8" ht="14.25" customHeight="1" x14ac:dyDescent="0.35">
      <c r="A16" s="12" t="s">
        <v>147</v>
      </c>
      <c r="B16" s="23">
        <f>'Income Statement'!B20</f>
        <v>10020</v>
      </c>
      <c r="D16" t="s">
        <v>148</v>
      </c>
      <c r="E16" s="6">
        <f>B20</f>
        <v>-29992.831999999995</v>
      </c>
      <c r="G16" t="s">
        <v>112</v>
      </c>
      <c r="H16" s="6">
        <f t="shared" ref="H16:H21" si="0">B15</f>
        <v>49964.668000000005</v>
      </c>
    </row>
    <row r="17" spans="1:8" ht="14.25" customHeight="1" x14ac:dyDescent="0.35">
      <c r="A17" s="12" t="s">
        <v>149</v>
      </c>
      <c r="B17" s="23">
        <f>-B6</f>
        <v>-79980</v>
      </c>
      <c r="D17" t="s">
        <v>150</v>
      </c>
      <c r="E17" s="6">
        <f>B22</f>
        <v>-15000</v>
      </c>
      <c r="G17" t="s">
        <v>151</v>
      </c>
      <c r="H17" s="6">
        <f t="shared" si="0"/>
        <v>10020</v>
      </c>
    </row>
    <row r="18" spans="1:8" ht="14.25" customHeight="1" x14ac:dyDescent="0.35">
      <c r="A18" s="12" t="s">
        <v>152</v>
      </c>
      <c r="B18" s="23">
        <f>-B7</f>
        <v>-60000</v>
      </c>
      <c r="D18" t="s">
        <v>153</v>
      </c>
      <c r="E18" s="6">
        <f>B26</f>
        <v>-15000</v>
      </c>
      <c r="G18" t="s">
        <v>154</v>
      </c>
      <c r="H18" s="6">
        <f t="shared" si="0"/>
        <v>-79980</v>
      </c>
    </row>
    <row r="19" spans="1:8" ht="14.25" customHeight="1" x14ac:dyDescent="0.35">
      <c r="A19" s="12" t="s">
        <v>155</v>
      </c>
      <c r="B19" s="23">
        <f>B8</f>
        <v>50002.5</v>
      </c>
      <c r="D19" t="s">
        <v>156</v>
      </c>
      <c r="E19" s="6">
        <f>B27</f>
        <v>-59992.831999999995</v>
      </c>
      <c r="G19" t="s">
        <v>157</v>
      </c>
      <c r="H19" s="6">
        <f t="shared" si="0"/>
        <v>-60000</v>
      </c>
    </row>
    <row r="20" spans="1:8" ht="14.25" customHeight="1" x14ac:dyDescent="0.35">
      <c r="A20" s="12" t="s">
        <v>158</v>
      </c>
      <c r="B20" s="23">
        <f>SUM(B15:B19)</f>
        <v>-29992.831999999995</v>
      </c>
      <c r="G20" t="s">
        <v>159</v>
      </c>
      <c r="H20" s="6">
        <f t="shared" si="0"/>
        <v>50002.5</v>
      </c>
    </row>
    <row r="21" spans="1:8" ht="14.25" customHeight="1" x14ac:dyDescent="0.35">
      <c r="A21" s="12" t="s">
        <v>160</v>
      </c>
      <c r="B21" s="23">
        <f>-B9</f>
        <v>-15000</v>
      </c>
      <c r="G21" t="s">
        <v>161</v>
      </c>
      <c r="H21" s="6">
        <f t="shared" si="0"/>
        <v>-29992.831999999995</v>
      </c>
    </row>
    <row r="22" spans="1:8" ht="14.25" customHeight="1" x14ac:dyDescent="0.35">
      <c r="A22" s="12" t="s">
        <v>162</v>
      </c>
      <c r="B22" s="23">
        <f>B21</f>
        <v>-15000</v>
      </c>
    </row>
    <row r="23" spans="1:8" ht="14.25" customHeight="1" x14ac:dyDescent="0.35">
      <c r="A23" s="12" t="s">
        <v>163</v>
      </c>
      <c r="B23" s="23">
        <f>B10</f>
        <v>5000</v>
      </c>
    </row>
    <row r="24" spans="1:8" ht="14.25" customHeight="1" x14ac:dyDescent="0.35">
      <c r="A24" s="12" t="s">
        <v>164</v>
      </c>
      <c r="B24" s="23">
        <f>B11</f>
        <v>0</v>
      </c>
    </row>
    <row r="25" spans="1:8" ht="14.25" customHeight="1" x14ac:dyDescent="0.35">
      <c r="A25" s="12" t="s">
        <v>165</v>
      </c>
      <c r="B25" s="23">
        <f>-B12</f>
        <v>-20000</v>
      </c>
    </row>
    <row r="26" spans="1:8" ht="14.25" customHeight="1" x14ac:dyDescent="0.35">
      <c r="A26" s="12" t="s">
        <v>166</v>
      </c>
      <c r="B26" s="23">
        <f>SUM(B23:B25)</f>
        <v>-15000</v>
      </c>
    </row>
    <row r="27" spans="1:8" ht="14.25" customHeight="1" x14ac:dyDescent="0.35">
      <c r="A27" s="12" t="s">
        <v>156</v>
      </c>
      <c r="B27" s="23">
        <f>B20+B22+B26</f>
        <v>-59992.831999999995</v>
      </c>
    </row>
    <row r="28" spans="1:8" ht="14.25" customHeight="1" x14ac:dyDescent="0.35">
      <c r="A28" s="12" t="s">
        <v>133</v>
      </c>
      <c r="B28" s="23">
        <f>B5</f>
        <v>30000</v>
      </c>
    </row>
    <row r="29" spans="1:8" ht="14.25" customHeight="1" x14ac:dyDescent="0.35">
      <c r="A29" s="12" t="s">
        <v>167</v>
      </c>
      <c r="B29" s="23">
        <f>B27+B28</f>
        <v>-29992.831999999995</v>
      </c>
    </row>
    <row r="31" spans="1:8" ht="14.25" customHeight="1" x14ac:dyDescent="0.35">
      <c r="A31" t="s">
        <v>115</v>
      </c>
    </row>
    <row r="32" spans="1:8" ht="14.25" customHeight="1" x14ac:dyDescent="0.35">
      <c r="A32" t="s">
        <v>168</v>
      </c>
    </row>
    <row r="33" spans="1:1" ht="14.25" customHeight="1" x14ac:dyDescent="0.35">
      <c r="A33" t="s">
        <v>169</v>
      </c>
    </row>
    <row r="34" spans="1:1" ht="14.25" customHeight="1" x14ac:dyDescent="0.35">
      <c r="A34" t="s">
        <v>170</v>
      </c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zoomScaleNormal="100" workbookViewId="0">
      <selection sqref="A1:F1"/>
    </sheetView>
  </sheetViews>
  <sheetFormatPr defaultColWidth="8.6328125" defaultRowHeight="14.5" x14ac:dyDescent="0.35"/>
  <cols>
    <col min="1" max="1" width="36" customWidth="1"/>
    <col min="2" max="2" width="28" customWidth="1"/>
  </cols>
  <sheetData>
    <row r="1" spans="1:6" ht="18" customHeight="1" x14ac:dyDescent="0.45">
      <c r="A1" s="1" t="s">
        <v>171</v>
      </c>
      <c r="B1" s="1"/>
      <c r="C1" s="1"/>
      <c r="D1" s="1"/>
      <c r="E1" s="1"/>
      <c r="F1" s="1"/>
    </row>
    <row r="3" spans="1:6" ht="15" customHeight="1" x14ac:dyDescent="0.35">
      <c r="A3" s="2" t="s">
        <v>172</v>
      </c>
    </row>
    <row r="5" spans="1:6" ht="14.25" customHeight="1" x14ac:dyDescent="0.35">
      <c r="A5" s="12" t="s">
        <v>16</v>
      </c>
      <c r="B5" s="4">
        <f>EBIT</f>
        <v>69960</v>
      </c>
      <c r="D5" s="11" t="s">
        <v>173</v>
      </c>
    </row>
    <row r="6" spans="1:6" ht="14.25" customHeight="1" x14ac:dyDescent="0.35">
      <c r="A6" s="12" t="s">
        <v>102</v>
      </c>
      <c r="B6" s="15">
        <f>Tax_Rate</f>
        <v>0.16669999999999999</v>
      </c>
      <c r="D6" s="14" t="s">
        <v>74</v>
      </c>
      <c r="E6" s="14" t="s">
        <v>93</v>
      </c>
    </row>
    <row r="7" spans="1:6" ht="14.25" customHeight="1" x14ac:dyDescent="0.35">
      <c r="A7" s="12" t="s">
        <v>15</v>
      </c>
      <c r="B7" s="4">
        <f>Interest_Expense</f>
        <v>10000</v>
      </c>
      <c r="D7" t="s">
        <v>174</v>
      </c>
      <c r="E7" s="6">
        <f>B23</f>
        <v>-36659.831999999995</v>
      </c>
    </row>
    <row r="8" spans="1:6" ht="14.25" customHeight="1" x14ac:dyDescent="0.35">
      <c r="A8" s="12" t="s">
        <v>99</v>
      </c>
      <c r="B8" s="4">
        <f>Depreciation_Amortization</f>
        <v>10020</v>
      </c>
      <c r="D8" t="s">
        <v>175</v>
      </c>
      <c r="E8" s="6">
        <f>B31</f>
        <v>-39992.831999999995</v>
      </c>
    </row>
    <row r="9" spans="1:6" ht="14.25" customHeight="1" x14ac:dyDescent="0.35">
      <c r="A9" s="12" t="s">
        <v>134</v>
      </c>
      <c r="B9" s="4">
        <f>Delta_AR</f>
        <v>79980</v>
      </c>
      <c r="D9" t="s">
        <v>176</v>
      </c>
      <c r="E9" s="6">
        <f>B35</f>
        <v>-39992.831999999995</v>
      </c>
    </row>
    <row r="10" spans="1:6" ht="14.25" customHeight="1" x14ac:dyDescent="0.35">
      <c r="A10" s="12" t="s">
        <v>135</v>
      </c>
      <c r="B10" s="4">
        <f>Delta_Inventory</f>
        <v>60000</v>
      </c>
    </row>
    <row r="11" spans="1:6" ht="14.25" customHeight="1" x14ac:dyDescent="0.35">
      <c r="A11" s="12" t="s">
        <v>136</v>
      </c>
      <c r="B11" s="4">
        <f>Delta_AP</f>
        <v>50002.5</v>
      </c>
    </row>
    <row r="12" spans="1:6" ht="14.25" customHeight="1" x14ac:dyDescent="0.35">
      <c r="A12" s="12" t="s">
        <v>137</v>
      </c>
      <c r="B12" s="4">
        <f>CapEx</f>
        <v>15000</v>
      </c>
    </row>
    <row r="13" spans="1:6" ht="14.25" customHeight="1" x14ac:dyDescent="0.35">
      <c r="A13" s="12" t="s">
        <v>138</v>
      </c>
      <c r="B13" s="4">
        <f>Net_Borrowing</f>
        <v>5000</v>
      </c>
    </row>
    <row r="14" spans="1:6" ht="14.25" customHeight="1" x14ac:dyDescent="0.35">
      <c r="A14" s="12" t="s">
        <v>112</v>
      </c>
      <c r="B14" s="4">
        <f>Net_Income</f>
        <v>49964.668000000005</v>
      </c>
    </row>
    <row r="15" spans="1:6" ht="14.25" customHeight="1" x14ac:dyDescent="0.35">
      <c r="B15" s="24"/>
    </row>
    <row r="16" spans="1:6" ht="14.25" customHeight="1" x14ac:dyDescent="0.35">
      <c r="A16" s="12" t="s">
        <v>177</v>
      </c>
      <c r="B16" s="4">
        <f>Delta_AR+Delta_Inventory-Delta_AP</f>
        <v>89977.5</v>
      </c>
    </row>
    <row r="17" spans="1:2" ht="14.25" customHeight="1" x14ac:dyDescent="0.35">
      <c r="B17" s="24"/>
    </row>
    <row r="18" spans="1:2" ht="15" customHeight="1" x14ac:dyDescent="0.35">
      <c r="A18" s="2" t="s">
        <v>178</v>
      </c>
      <c r="B18" s="24"/>
    </row>
    <row r="19" spans="1:2" ht="14.25" customHeight="1" x14ac:dyDescent="0.35">
      <c r="A19" s="12" t="s">
        <v>179</v>
      </c>
      <c r="B19" s="4">
        <f>EBIT*(1-Tax_Rate)</f>
        <v>58297.668000000005</v>
      </c>
    </row>
    <row r="20" spans="1:2" ht="14.25" customHeight="1" x14ac:dyDescent="0.35">
      <c r="A20" s="12" t="s">
        <v>180</v>
      </c>
      <c r="B20" s="4">
        <f>Depreciation_Amortization</f>
        <v>10020</v>
      </c>
    </row>
    <row r="21" spans="1:2" ht="14.25" customHeight="1" x14ac:dyDescent="0.35">
      <c r="A21" s="12" t="s">
        <v>181</v>
      </c>
      <c r="B21" s="4">
        <f>-CapEx</f>
        <v>-15000</v>
      </c>
    </row>
    <row r="22" spans="1:2" ht="14.25" customHeight="1" x14ac:dyDescent="0.35">
      <c r="A22" s="12" t="s">
        <v>182</v>
      </c>
      <c r="B22" s="4">
        <f>-(Delta_AR+Delta_Inventory-Delta_AP)</f>
        <v>-89977.5</v>
      </c>
    </row>
    <row r="23" spans="1:2" ht="14.25" customHeight="1" x14ac:dyDescent="0.35">
      <c r="A23" s="12" t="s">
        <v>174</v>
      </c>
      <c r="B23" s="4">
        <f>SUM(B19:B22)</f>
        <v>-36659.831999999995</v>
      </c>
    </row>
    <row r="24" spans="1:2" ht="14.25" customHeight="1" x14ac:dyDescent="0.35">
      <c r="B24" s="24"/>
    </row>
    <row r="25" spans="1:2" ht="15" customHeight="1" x14ac:dyDescent="0.35">
      <c r="A25" s="2" t="s">
        <v>183</v>
      </c>
      <c r="B25" s="24"/>
    </row>
    <row r="26" spans="1:2" ht="14.25" customHeight="1" x14ac:dyDescent="0.35">
      <c r="A26" s="12" t="s">
        <v>112</v>
      </c>
      <c r="B26" s="4">
        <f>B14</f>
        <v>49964.668000000005</v>
      </c>
    </row>
    <row r="27" spans="1:2" ht="14.25" customHeight="1" x14ac:dyDescent="0.35">
      <c r="A27" s="12" t="s">
        <v>180</v>
      </c>
      <c r="B27" s="4">
        <f>B8</f>
        <v>10020</v>
      </c>
    </row>
    <row r="28" spans="1:2" ht="14.25" customHeight="1" x14ac:dyDescent="0.35">
      <c r="A28" s="12" t="s">
        <v>181</v>
      </c>
      <c r="B28" s="4">
        <f>-B12</f>
        <v>-15000</v>
      </c>
    </row>
    <row r="29" spans="1:2" ht="14.25" customHeight="1" x14ac:dyDescent="0.35">
      <c r="A29" s="12" t="s">
        <v>182</v>
      </c>
      <c r="B29" s="4">
        <f>-B16</f>
        <v>-89977.5</v>
      </c>
    </row>
    <row r="30" spans="1:2" ht="14.25" customHeight="1" x14ac:dyDescent="0.35">
      <c r="A30" s="12" t="s">
        <v>184</v>
      </c>
      <c r="B30" s="4">
        <f>Net_Borrowing</f>
        <v>5000</v>
      </c>
    </row>
    <row r="31" spans="1:2" ht="14.25" customHeight="1" x14ac:dyDescent="0.35">
      <c r="A31" s="12" t="s">
        <v>175</v>
      </c>
      <c r="B31" s="4">
        <f>SUM(B26:B30)</f>
        <v>-39992.831999999995</v>
      </c>
    </row>
    <row r="32" spans="1:2" ht="14.25" customHeight="1" x14ac:dyDescent="0.35">
      <c r="A32" s="12" t="s">
        <v>174</v>
      </c>
      <c r="B32" s="4">
        <f>B23</f>
        <v>-36659.831999999995</v>
      </c>
    </row>
    <row r="33" spans="1:2" ht="14.25" customHeight="1" x14ac:dyDescent="0.35">
      <c r="A33" s="12" t="s">
        <v>185</v>
      </c>
      <c r="B33" s="4">
        <f>-Interest_Expense*(1-Tax_Rate)</f>
        <v>-8333</v>
      </c>
    </row>
    <row r="34" spans="1:2" ht="14.25" customHeight="1" x14ac:dyDescent="0.35">
      <c r="A34" s="12" t="s">
        <v>184</v>
      </c>
      <c r="B34" s="4">
        <f>B13</f>
        <v>5000</v>
      </c>
    </row>
    <row r="35" spans="1:2" ht="14.25" customHeight="1" x14ac:dyDescent="0.35">
      <c r="A35" s="12" t="s">
        <v>176</v>
      </c>
      <c r="B35" s="4">
        <f>SUM(B32:B34)</f>
        <v>-39992.831999999995</v>
      </c>
    </row>
    <row r="37" spans="1:2" ht="14.25" customHeight="1" x14ac:dyDescent="0.35">
      <c r="A37" t="s">
        <v>115</v>
      </c>
    </row>
    <row r="38" spans="1:2" ht="14.25" customHeight="1" x14ac:dyDescent="0.35">
      <c r="A38" t="s">
        <v>186</v>
      </c>
    </row>
    <row r="39" spans="1:2" ht="14.25" customHeight="1" x14ac:dyDescent="0.35">
      <c r="A39" t="s">
        <v>187</v>
      </c>
    </row>
    <row r="40" spans="1:2" ht="14.25" customHeight="1" x14ac:dyDescent="0.35">
      <c r="A40" t="s">
        <v>188</v>
      </c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zoomScaleNormal="100" workbookViewId="0">
      <selection sqref="A1:F1"/>
    </sheetView>
  </sheetViews>
  <sheetFormatPr defaultColWidth="8.6328125" defaultRowHeight="14.5" x14ac:dyDescent="0.35"/>
  <cols>
    <col min="1" max="3" width="38" customWidth="1"/>
  </cols>
  <sheetData>
    <row r="1" spans="1:6" ht="18" customHeight="1" x14ac:dyDescent="0.45">
      <c r="A1" s="1" t="s">
        <v>189</v>
      </c>
      <c r="B1" s="1"/>
      <c r="C1" s="1"/>
      <c r="D1" s="1"/>
      <c r="E1" s="1"/>
      <c r="F1" s="1"/>
    </row>
    <row r="3" spans="1:6" ht="14.25" customHeight="1" x14ac:dyDescent="0.35">
      <c r="A3" s="10" t="s">
        <v>190</v>
      </c>
      <c r="B3" s="10" t="s">
        <v>191</v>
      </c>
      <c r="D3" s="25" t="s">
        <v>74</v>
      </c>
      <c r="E3" s="25" t="s">
        <v>191</v>
      </c>
    </row>
    <row r="4" spans="1:6" ht="14.25" customHeight="1" x14ac:dyDescent="0.35">
      <c r="A4" s="12" t="s">
        <v>11</v>
      </c>
      <c r="B4" s="15">
        <f>'Income Statement'!C15</f>
        <v>1</v>
      </c>
      <c r="D4" t="s">
        <v>13</v>
      </c>
      <c r="E4" s="20">
        <f>'Income Statement'!C17</f>
        <v>0.33329999999999999</v>
      </c>
    </row>
    <row r="5" spans="1:6" ht="14.25" customHeight="1" x14ac:dyDescent="0.35">
      <c r="A5" s="12" t="s">
        <v>91</v>
      </c>
      <c r="B5" s="15">
        <f>'Income Statement'!C16</f>
        <v>0.66669999999999996</v>
      </c>
      <c r="D5" t="s">
        <v>192</v>
      </c>
      <c r="E5" s="20">
        <f>'Income Statement'!C18</f>
        <v>0.2</v>
      </c>
    </row>
    <row r="6" spans="1:6" ht="14.25" customHeight="1" x14ac:dyDescent="0.35">
      <c r="A6" s="12" t="s">
        <v>13</v>
      </c>
      <c r="B6" s="15">
        <f>'Income Statement'!C17</f>
        <v>0.33329999999999999</v>
      </c>
      <c r="D6" t="s">
        <v>110</v>
      </c>
      <c r="E6" s="20">
        <f>'Income Statement'!C19</f>
        <v>0.1333</v>
      </c>
    </row>
    <row r="7" spans="1:6" ht="14.25" customHeight="1" x14ac:dyDescent="0.35">
      <c r="A7" s="12" t="s">
        <v>193</v>
      </c>
      <c r="B7" s="15">
        <f>'Income Statement'!C18</f>
        <v>0.2</v>
      </c>
      <c r="D7" t="s">
        <v>16</v>
      </c>
      <c r="E7" s="20">
        <f>'Income Statement'!C21</f>
        <v>0.1166</v>
      </c>
    </row>
    <row r="8" spans="1:6" ht="14.25" customHeight="1" x14ac:dyDescent="0.35">
      <c r="A8" s="12" t="s">
        <v>110</v>
      </c>
      <c r="B8" s="15">
        <f>'Income Statement'!C19</f>
        <v>0.1333</v>
      </c>
      <c r="D8" t="s">
        <v>112</v>
      </c>
      <c r="E8" s="20">
        <f>'Income Statement'!C25</f>
        <v>8.3274446666666668E-2</v>
      </c>
    </row>
    <row r="9" spans="1:6" ht="14.25" customHeight="1" x14ac:dyDescent="0.35">
      <c r="A9" s="12" t="s">
        <v>99</v>
      </c>
      <c r="B9" s="15">
        <f>'Income Statement'!C20</f>
        <v>1.67E-2</v>
      </c>
      <c r="E9" s="20"/>
    </row>
    <row r="10" spans="1:6" ht="14.25" customHeight="1" x14ac:dyDescent="0.35">
      <c r="A10" s="12" t="s">
        <v>16</v>
      </c>
      <c r="B10" s="15">
        <f>'Income Statement'!C21</f>
        <v>0.1166</v>
      </c>
      <c r="E10" s="20"/>
    </row>
    <row r="11" spans="1:6" ht="14.25" customHeight="1" x14ac:dyDescent="0.35">
      <c r="A11" s="12" t="s">
        <v>15</v>
      </c>
      <c r="B11" s="15">
        <f>'Income Statement'!C22</f>
        <v>1.6666666666666666E-2</v>
      </c>
      <c r="E11" s="20"/>
    </row>
    <row r="12" spans="1:6" ht="14.25" customHeight="1" x14ac:dyDescent="0.35">
      <c r="A12" s="12" t="s">
        <v>111</v>
      </c>
      <c r="B12" s="15">
        <f>'Income Statement'!C23</f>
        <v>9.9933333333333332E-2</v>
      </c>
      <c r="E12" s="20"/>
    </row>
    <row r="13" spans="1:6" ht="14.25" customHeight="1" x14ac:dyDescent="0.35">
      <c r="A13" s="12" t="s">
        <v>114</v>
      </c>
      <c r="B13" s="15">
        <f>'Income Statement'!C24</f>
        <v>1.6658886666666664E-2</v>
      </c>
      <c r="E13" s="20"/>
    </row>
    <row r="14" spans="1:6" ht="14.25" customHeight="1" x14ac:dyDescent="0.35">
      <c r="A14" s="12" t="s">
        <v>112</v>
      </c>
      <c r="B14" s="15">
        <f>'Income Statement'!C25</f>
        <v>8.3274446666666668E-2</v>
      </c>
      <c r="E14" s="20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0"/>
  <sheetViews>
    <sheetView zoomScaleNormal="100" workbookViewId="0">
      <selection sqref="A1:H1"/>
    </sheetView>
  </sheetViews>
  <sheetFormatPr defaultColWidth="8.6328125" defaultRowHeight="14.5" x14ac:dyDescent="0.35"/>
  <cols>
    <col min="1" max="1" width="44" customWidth="1"/>
    <col min="2" max="2" width="24" customWidth="1"/>
  </cols>
  <sheetData>
    <row r="1" spans="1:14" ht="18" customHeight="1" x14ac:dyDescent="0.45">
      <c r="A1" s="1" t="s">
        <v>194</v>
      </c>
      <c r="B1" s="1"/>
      <c r="C1" s="1"/>
      <c r="D1" s="1"/>
      <c r="E1" s="1"/>
      <c r="F1" s="1"/>
      <c r="G1" s="1"/>
      <c r="H1" s="1"/>
    </row>
    <row r="3" spans="1:14" ht="14.25" customHeight="1" x14ac:dyDescent="0.35">
      <c r="A3" s="9" t="s">
        <v>195</v>
      </c>
      <c r="B3" s="9" t="s">
        <v>23</v>
      </c>
      <c r="D3" s="25" t="s">
        <v>74</v>
      </c>
      <c r="E3" s="25" t="s">
        <v>23</v>
      </c>
      <c r="M3" s="11" t="s">
        <v>196</v>
      </c>
    </row>
    <row r="4" spans="1:14" ht="14.25" customHeight="1" x14ac:dyDescent="0.35">
      <c r="A4" s="12" t="s">
        <v>29</v>
      </c>
      <c r="B4" s="13">
        <f>INDEX(Ratios!C:C, MATCH("Current Ratio", Ratios!A:A, 0))</f>
        <v>2</v>
      </c>
      <c r="D4" t="s">
        <v>29</v>
      </c>
      <c r="E4" s="18">
        <f>B4</f>
        <v>2</v>
      </c>
      <c r="M4" s="14" t="s">
        <v>146</v>
      </c>
      <c r="N4" s="14" t="s">
        <v>93</v>
      </c>
    </row>
    <row r="5" spans="1:14" ht="14.25" customHeight="1" x14ac:dyDescent="0.35">
      <c r="A5" s="12" t="s">
        <v>32</v>
      </c>
      <c r="B5" s="13">
        <f>INDEX(Ratios!C:C, MATCH("Quick Ratio (Acid Test)", Ratios!A:A, 0))</f>
        <v>1.4</v>
      </c>
      <c r="D5" t="s">
        <v>32</v>
      </c>
      <c r="E5" s="18">
        <f>B5</f>
        <v>1.4</v>
      </c>
      <c r="M5" t="s">
        <v>8</v>
      </c>
      <c r="N5" s="6">
        <f>Current_Liabilities</f>
        <v>100000</v>
      </c>
    </row>
    <row r="6" spans="1:14" ht="14.25" customHeight="1" x14ac:dyDescent="0.35">
      <c r="A6" s="12" t="s">
        <v>57</v>
      </c>
      <c r="B6" s="22">
        <f>INDEX(Ratios!C:C, MATCH("ROE", Ratios!A:A, 0))</f>
        <v>0.19985867200000001</v>
      </c>
      <c r="M6" t="s">
        <v>9</v>
      </c>
      <c r="N6" s="6">
        <f>Long_Term_Liabilities</f>
        <v>150000</v>
      </c>
    </row>
    <row r="7" spans="1:14" ht="14.25" customHeight="1" x14ac:dyDescent="0.35">
      <c r="A7" s="12" t="s">
        <v>59</v>
      </c>
      <c r="B7" s="22">
        <f>INDEX(Ratios!C:C, MATCH("ROA", Ratios!A:A, 0))</f>
        <v>9.9929336000000007E-2</v>
      </c>
      <c r="M7" t="s">
        <v>10</v>
      </c>
      <c r="N7" s="6">
        <f>Equity</f>
        <v>250000</v>
      </c>
    </row>
    <row r="8" spans="1:14" ht="14.25" customHeight="1" x14ac:dyDescent="0.35">
      <c r="A8" s="12" t="s">
        <v>52</v>
      </c>
      <c r="B8" s="22">
        <f>INDEX(Ratios!C:C, MATCH("Net Profit Margin", Ratios!A:A, 0))</f>
        <v>8.3274446666666668E-2</v>
      </c>
      <c r="D8" s="25" t="s">
        <v>74</v>
      </c>
      <c r="E8" s="25" t="s">
        <v>23</v>
      </c>
    </row>
    <row r="9" spans="1:14" ht="14.25" customHeight="1" x14ac:dyDescent="0.35">
      <c r="A9" s="12" t="s">
        <v>39</v>
      </c>
      <c r="B9" s="17">
        <f>INDEX(Ratios!C:C, MATCH("Asset Turnover", Ratios!A:A, 0))</f>
        <v>1.2</v>
      </c>
      <c r="D9" t="s">
        <v>57</v>
      </c>
      <c r="E9" s="26">
        <f>B6</f>
        <v>0.19985867200000001</v>
      </c>
    </row>
    <row r="10" spans="1:14" ht="14.25" customHeight="1" x14ac:dyDescent="0.35">
      <c r="A10" s="12" t="s">
        <v>197</v>
      </c>
      <c r="B10" s="4">
        <f>INDEX(Ratios!C:C, MATCH("Earnings per Share (EPS)", Ratios!A:A, 0))</f>
        <v>4.9964668000000003</v>
      </c>
      <c r="D10" t="s">
        <v>59</v>
      </c>
      <c r="E10" s="26">
        <f>B7</f>
        <v>9.9929336000000007E-2</v>
      </c>
    </row>
    <row r="11" spans="1:14" ht="14.25" customHeight="1" x14ac:dyDescent="0.35">
      <c r="A11" s="12" t="s">
        <v>198</v>
      </c>
      <c r="B11" s="17">
        <f>INDEX(Ratios!C:C, MATCH("Price/Earnings (P/E)", Ratios!A:A, 0))</f>
        <v>3.0021214190795784</v>
      </c>
      <c r="D11" t="s">
        <v>77</v>
      </c>
      <c r="E11" s="26">
        <f>B8</f>
        <v>8.3274446666666668E-2</v>
      </c>
    </row>
    <row r="12" spans="1:14" ht="14.25" customHeight="1" x14ac:dyDescent="0.35">
      <c r="A12" s="12" t="s">
        <v>82</v>
      </c>
      <c r="B12" s="22">
        <f>INDEX(Ratios!C:C, MATCH("Dividend Yield", Ratios!A:A, 0))</f>
        <v>0.13333333333333333</v>
      </c>
    </row>
    <row r="13" spans="1:14" ht="14.25" customHeight="1" x14ac:dyDescent="0.35">
      <c r="A13" s="12" t="s">
        <v>174</v>
      </c>
      <c r="B13" s="4">
        <f>'FCFF &amp; FCFE'!B23</f>
        <v>-36659.831999999995</v>
      </c>
    </row>
    <row r="14" spans="1:14" ht="14.25" customHeight="1" x14ac:dyDescent="0.35">
      <c r="A14" s="12" t="s">
        <v>175</v>
      </c>
      <c r="B14" s="4">
        <f>'FCFF &amp; FCFE'!B31</f>
        <v>-39992.831999999995</v>
      </c>
    </row>
    <row r="15" spans="1:14" ht="14.25" customHeight="1" x14ac:dyDescent="0.35">
      <c r="A15" s="12" t="s">
        <v>167</v>
      </c>
      <c r="B15" s="4">
        <f>'Cash Flow Statement'!B29</f>
        <v>-29992.831999999995</v>
      </c>
    </row>
    <row r="20" spans="1:14" ht="18" customHeight="1" x14ac:dyDescent="0.45">
      <c r="A20" s="1" t="s">
        <v>199</v>
      </c>
      <c r="B20" s="1"/>
      <c r="C20" s="1"/>
      <c r="D20" s="1"/>
      <c r="E20" s="1"/>
      <c r="F20" s="1"/>
      <c r="G20" s="1"/>
      <c r="H20" s="1"/>
      <c r="M20" s="11" t="s">
        <v>200</v>
      </c>
    </row>
    <row r="21" spans="1:14" ht="14.25" customHeight="1" x14ac:dyDescent="0.35">
      <c r="M21" s="14" t="s">
        <v>144</v>
      </c>
      <c r="N21" s="14" t="s">
        <v>93</v>
      </c>
    </row>
    <row r="22" spans="1:14" ht="14.25" customHeight="1" x14ac:dyDescent="0.35">
      <c r="A22" s="25" t="s">
        <v>201</v>
      </c>
      <c r="B22" t="str">
        <f>Selected_Scenario</f>
        <v>Base</v>
      </c>
      <c r="D22" s="27" t="s">
        <v>202</v>
      </c>
      <c r="M22" t="s">
        <v>148</v>
      </c>
      <c r="N22" s="6">
        <f>'Cash Flow Statement'!B20</f>
        <v>-29992.831999999995</v>
      </c>
    </row>
    <row r="23" spans="1:14" ht="14.25" customHeight="1" x14ac:dyDescent="0.35">
      <c r="M23" t="s">
        <v>150</v>
      </c>
      <c r="N23" s="6">
        <f>'Cash Flow Statement'!B22</f>
        <v>-15000</v>
      </c>
    </row>
    <row r="24" spans="1:14" ht="14.25" customHeight="1" x14ac:dyDescent="0.35">
      <c r="A24" s="10" t="s">
        <v>195</v>
      </c>
      <c r="B24" s="10" t="s">
        <v>23</v>
      </c>
      <c r="D24" s="28" t="s">
        <v>203</v>
      </c>
      <c r="M24" t="s">
        <v>153</v>
      </c>
      <c r="N24" s="6">
        <f>'Cash Flow Statement'!B26</f>
        <v>-15000</v>
      </c>
    </row>
    <row r="25" spans="1:14" ht="14.25" customHeight="1" x14ac:dyDescent="0.35">
      <c r="A25" s="12" t="s">
        <v>108</v>
      </c>
      <c r="B25" s="4">
        <f>Scen_Sales</f>
        <v>600000</v>
      </c>
      <c r="M25" t="s">
        <v>204</v>
      </c>
      <c r="N25" s="6">
        <f>'Cash Flow Statement'!B27</f>
        <v>-59992.831999999995</v>
      </c>
    </row>
    <row r="26" spans="1:14" ht="14.25" customHeight="1" x14ac:dyDescent="0.35">
      <c r="A26" s="12" t="s">
        <v>205</v>
      </c>
      <c r="B26" s="22">
        <f>Scen_COGS_Pct</f>
        <v>0.66669999999999996</v>
      </c>
    </row>
    <row r="27" spans="1:14" ht="14.25" customHeight="1" x14ac:dyDescent="0.35">
      <c r="A27" s="12" t="s">
        <v>206</v>
      </c>
      <c r="B27" s="22">
        <f>Scen_Sell_Pct+Scen_Admin_Pct+Scen_RnD_Pct</f>
        <v>0.2</v>
      </c>
    </row>
    <row r="28" spans="1:14" ht="14.25" customHeight="1" x14ac:dyDescent="0.35">
      <c r="A28" s="12" t="s">
        <v>207</v>
      </c>
      <c r="B28" s="22">
        <f>'Income Statement'!C19</f>
        <v>0.1333</v>
      </c>
      <c r="D28" s="27" t="s">
        <v>202</v>
      </c>
    </row>
    <row r="29" spans="1:14" ht="14.25" customHeight="1" x14ac:dyDescent="0.35">
      <c r="A29" s="12" t="s">
        <v>52</v>
      </c>
      <c r="B29" s="22">
        <f>Net_Income/Sales</f>
        <v>8.3274446666666668E-2</v>
      </c>
      <c r="D29" s="27" t="s">
        <v>208</v>
      </c>
    </row>
    <row r="30" spans="1:14" ht="14.25" customHeight="1" x14ac:dyDescent="0.35">
      <c r="A30" s="12" t="s">
        <v>57</v>
      </c>
      <c r="B30" s="22">
        <f>Net_Income/Equity</f>
        <v>0.19985867200000001</v>
      </c>
      <c r="D30" s="27" t="s">
        <v>209</v>
      </c>
    </row>
    <row r="31" spans="1:14" ht="14.25" customHeight="1" x14ac:dyDescent="0.35">
      <c r="A31" s="12" t="s">
        <v>174</v>
      </c>
      <c r="B31" s="23">
        <f>EBIT*(1-Tax_Rate)+Depreciation_Amortization-CapEx-(Delta_AR+Delta_Inventory-Delta_AP)</f>
        <v>-36659.831999999995</v>
      </c>
      <c r="D31" s="27" t="s">
        <v>210</v>
      </c>
    </row>
    <row r="32" spans="1:14" ht="14.25" customHeight="1" x14ac:dyDescent="0.35">
      <c r="A32" s="12" t="s">
        <v>211</v>
      </c>
      <c r="B32" s="23">
        <f>Net_Income+Depreciation_Amortization-CapEx-(Delta_AR+Delta_Inventory-Delta_AP)+Net_Borrowing</f>
        <v>-39992.831999999995</v>
      </c>
      <c r="D32" s="27" t="s">
        <v>212</v>
      </c>
    </row>
    <row r="33" spans="1:2" ht="14.25" customHeight="1" x14ac:dyDescent="0.35">
      <c r="A33" s="12" t="s">
        <v>167</v>
      </c>
      <c r="B33" s="4">
        <f>Ending_Cash</f>
        <v>-29992.831999999995</v>
      </c>
    </row>
    <row r="34" spans="1:2" ht="14.25" customHeight="1" x14ac:dyDescent="0.35">
      <c r="A34" s="12" t="s">
        <v>198</v>
      </c>
      <c r="B34" s="17">
        <f>Share_Price/(Net_Income/Shares_Outstanding)</f>
        <v>3.0021214190795784</v>
      </c>
    </row>
    <row r="35" spans="1:2" ht="14.25" customHeight="1" x14ac:dyDescent="0.35">
      <c r="A35" s="12" t="s">
        <v>82</v>
      </c>
      <c r="B35" s="22">
        <f>Dividend_per_Share/Share_Price</f>
        <v>0.13333333333333333</v>
      </c>
    </row>
    <row r="36" spans="1:2" ht="14.25" customHeight="1" x14ac:dyDescent="0.35"/>
    <row r="37" spans="1:2" ht="14.25" customHeight="1" x14ac:dyDescent="0.35"/>
    <row r="38" spans="1:2" ht="14.25" customHeight="1" x14ac:dyDescent="0.35"/>
    <row r="39" spans="1:2" ht="14.25" customHeight="1" x14ac:dyDescent="0.35"/>
    <row r="40" spans="1:2" ht="14.25" customHeight="1" x14ac:dyDescent="0.35"/>
    <row r="41" spans="1:2" ht="14.25" customHeight="1" x14ac:dyDescent="0.35"/>
    <row r="42" spans="1:2" ht="14.25" customHeight="1" x14ac:dyDescent="0.35"/>
    <row r="43" spans="1:2" ht="14.25" customHeight="1" x14ac:dyDescent="0.35"/>
    <row r="44" spans="1:2" ht="14.25" customHeight="1" x14ac:dyDescent="0.35"/>
    <row r="45" spans="1:2" ht="14.25" customHeight="1" x14ac:dyDescent="0.35"/>
    <row r="46" spans="1:2" ht="14.25" customHeight="1" x14ac:dyDescent="0.35"/>
    <row r="47" spans="1:2" ht="14.25" customHeight="1" x14ac:dyDescent="0.35"/>
    <row r="48" spans="1:2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</sheetData>
  <mergeCells count="2">
    <mergeCell ref="A1:H1"/>
    <mergeCell ref="A20:H20"/>
  </mergeCells>
  <hyperlinks>
    <hyperlink ref="D22" location="'Scenarios'!A1" display="Go to Scenarios »" xr:uid="{00000000-0004-0000-0600-000000000000}"/>
    <hyperlink ref="D28" location="'Scenarios'!A1" display="Go to Scenarios »" xr:uid="{00000000-0004-0000-0600-000001000000}"/>
    <hyperlink ref="D29" location="'Sensitivity (Net Income)'!A1" display="Go to Sensitivity (Net Income) »" xr:uid="{00000000-0004-0000-0600-000002000000}"/>
    <hyperlink ref="D30" location="'Sensitivity (FCFF)'!A1" display="Go to Sensitivity (FCFF) »" xr:uid="{00000000-0004-0000-0600-000003000000}"/>
    <hyperlink ref="D31" location="'Tornado (FCFF)'!A1" display="Go to Tornado (FCFF) »" xr:uid="{00000000-0004-0000-0600-000004000000}"/>
    <hyperlink ref="D32" location="'Tornado (Net Income)'!A1" display="Go to Tornado (Net Income) »" xr:uid="{00000000-0004-0000-0600-000005000000}"/>
  </hyperlinks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tabSelected="1" zoomScaleNormal="100" workbookViewId="0">
      <selection activeCell="D23" sqref="D23"/>
    </sheetView>
  </sheetViews>
  <sheetFormatPr defaultColWidth="8.6328125" defaultRowHeight="14.5" x14ac:dyDescent="0.35"/>
  <cols>
    <col min="1" max="1" width="36.36328125" customWidth="1"/>
    <col min="2" max="5" width="11.6328125" customWidth="1"/>
    <col min="8" max="10" width="15.1796875" customWidth="1"/>
  </cols>
  <sheetData>
    <row r="1" spans="1:10" ht="14.25" customHeight="1" x14ac:dyDescent="0.35">
      <c r="A1" t="s">
        <v>213</v>
      </c>
    </row>
    <row r="2" spans="1:10" ht="14.25" customHeight="1" x14ac:dyDescent="0.35">
      <c r="A2" t="s">
        <v>214</v>
      </c>
      <c r="B2" t="s">
        <v>215</v>
      </c>
    </row>
    <row r="3" spans="1:10" ht="14.25" customHeight="1" x14ac:dyDescent="0.35">
      <c r="A3" s="29" t="s">
        <v>216</v>
      </c>
      <c r="B3" s="30" t="s">
        <v>215</v>
      </c>
      <c r="C3" s="30" t="s">
        <v>217</v>
      </c>
      <c r="D3" s="30" t="s">
        <v>218</v>
      </c>
      <c r="E3" s="30" t="s">
        <v>219</v>
      </c>
      <c r="G3" s="11" t="s">
        <v>220</v>
      </c>
    </row>
    <row r="4" spans="1:10" ht="14.25" customHeight="1" x14ac:dyDescent="0.35">
      <c r="A4" s="29" t="s">
        <v>11</v>
      </c>
      <c r="B4" s="31">
        <v>600000</v>
      </c>
      <c r="C4" s="31">
        <v>660000</v>
      </c>
      <c r="D4" s="31">
        <v>540000</v>
      </c>
      <c r="E4" s="31">
        <f>INDEX($B$4:$D$4,$B$20)</f>
        <v>600000</v>
      </c>
      <c r="G4" s="14" t="s">
        <v>74</v>
      </c>
      <c r="H4" s="14" t="s">
        <v>215</v>
      </c>
      <c r="I4" s="14" t="s">
        <v>217</v>
      </c>
      <c r="J4" s="14" t="s">
        <v>218</v>
      </c>
    </row>
    <row r="5" spans="1:10" ht="14.25" customHeight="1" x14ac:dyDescent="0.35">
      <c r="A5" s="29" t="s">
        <v>205</v>
      </c>
      <c r="B5" s="32">
        <v>0.66669999999999996</v>
      </c>
      <c r="C5" s="32">
        <v>0.64</v>
      </c>
      <c r="D5" s="32">
        <v>0.7</v>
      </c>
      <c r="E5" s="32">
        <f>INDEX($B$5:$D$5,$B$20)</f>
        <v>0.66669999999999996</v>
      </c>
      <c r="G5" t="s">
        <v>108</v>
      </c>
      <c r="H5" s="6">
        <f>B4</f>
        <v>600000</v>
      </c>
      <c r="I5" s="6">
        <f>C4</f>
        <v>660000</v>
      </c>
      <c r="J5" s="6">
        <f>D4</f>
        <v>540000</v>
      </c>
    </row>
    <row r="6" spans="1:10" ht="14.25" customHeight="1" x14ac:dyDescent="0.35">
      <c r="A6" s="29" t="s">
        <v>221</v>
      </c>
      <c r="B6" s="32">
        <v>0.1</v>
      </c>
      <c r="C6" s="32">
        <v>0.09</v>
      </c>
      <c r="D6" s="32">
        <v>0.11</v>
      </c>
      <c r="E6" s="32">
        <f>INDEX($B$6:$D$6,$B$20)</f>
        <v>0.1</v>
      </c>
      <c r="G6" t="s">
        <v>16</v>
      </c>
      <c r="H6" s="6">
        <f>(B4*(1-B5) - B4*(B6+B7+B8) - B4*B9)</f>
        <v>69960.000000000029</v>
      </c>
      <c r="I6" s="6">
        <f>(C4*(1-C5) - C4*(C6+C7+C8) - C4*C9)</f>
        <v>108900</v>
      </c>
      <c r="J6" s="6">
        <f>(D4*(1-D5) - D4*(D6+D7+D8) - D4*D9)</f>
        <v>29700.000000000029</v>
      </c>
    </row>
    <row r="7" spans="1:10" ht="14.25" customHeight="1" x14ac:dyDescent="0.35">
      <c r="A7" s="29" t="s">
        <v>222</v>
      </c>
      <c r="B7" s="32">
        <v>6.6699999999999995E-2</v>
      </c>
      <c r="C7" s="32">
        <v>0.06</v>
      </c>
      <c r="D7" s="32">
        <v>7.4999999999999997E-2</v>
      </c>
      <c r="E7" s="32">
        <f>INDEX($B$7:$D$7,$B$20)</f>
        <v>6.6699999999999995E-2</v>
      </c>
      <c r="G7" t="s">
        <v>112</v>
      </c>
      <c r="H7" s="6">
        <f>((B4*(1-B5) - B4*(B6+B7+B8) - B4*B9) - B10)*(1-B11)</f>
        <v>49964.668000000027</v>
      </c>
      <c r="I7" s="6">
        <f>((C4*(1-C5) - C4*(C6+C7+C8) - C4*C9) - C10)*(1-C11)</f>
        <v>83916</v>
      </c>
      <c r="J7" s="6">
        <f>((D4*(1-D5) - D4*(D6+D7+D8) - D4*D9) - D10)*(1-D11)</f>
        <v>14960.000000000024</v>
      </c>
    </row>
    <row r="8" spans="1:10" ht="14.25" customHeight="1" x14ac:dyDescent="0.35">
      <c r="A8" s="29" t="s">
        <v>223</v>
      </c>
      <c r="B8" s="32">
        <v>3.3300000000000003E-2</v>
      </c>
      <c r="C8" s="32">
        <v>0.03</v>
      </c>
      <c r="D8" s="32">
        <v>0.04</v>
      </c>
      <c r="E8" s="32">
        <f>INDEX($B$8:$D$8,$B$20)</f>
        <v>3.3300000000000003E-2</v>
      </c>
      <c r="G8" t="s">
        <v>174</v>
      </c>
      <c r="H8" s="6">
        <f>((B4*(1-B5) - B4*(B6+B7+B8) - B4*B9)*(1-B11) + B4*B9 - B12 - (B4*B13 + B4*B14 - B4*B5*B15))</f>
        <v>-36659.831999999966</v>
      </c>
      <c r="I8" s="6">
        <f>((C4*(1-C5) - C4*(C6+C7+C8) - C4*C9)*(1-C11) + C4*C9 - C12 - (C4*C13 + C4*C14 - C4*C5*C15))</f>
        <v>21712.000000000007</v>
      </c>
      <c r="J8" s="6">
        <f>((D4*(1-D5) - D4*(D6+D7+D8) - D4*D9)*(1-D11) + D4*D9 - D12 - (D4*D13 + D4*D14 - D4*D5*D15))</f>
        <v>-87059.999999999971</v>
      </c>
    </row>
    <row r="9" spans="1:10" ht="14.25" customHeight="1" x14ac:dyDescent="0.35">
      <c r="A9" s="29" t="s">
        <v>224</v>
      </c>
      <c r="B9" s="32">
        <v>1.67E-2</v>
      </c>
      <c r="C9" s="32">
        <v>1.4999999999999999E-2</v>
      </c>
      <c r="D9" s="32">
        <v>0.02</v>
      </c>
      <c r="E9" s="32">
        <f>INDEX($B$9:$D$9,$B$20)</f>
        <v>1.67E-2</v>
      </c>
    </row>
    <row r="10" spans="1:10" ht="14.25" customHeight="1" x14ac:dyDescent="0.35">
      <c r="A10" s="29" t="s">
        <v>225</v>
      </c>
      <c r="B10" s="31">
        <v>10000</v>
      </c>
      <c r="C10" s="31">
        <v>9000</v>
      </c>
      <c r="D10" s="31">
        <v>11000</v>
      </c>
      <c r="E10" s="31">
        <f>INDEX($B$10:$D$10,$B$20)</f>
        <v>10000</v>
      </c>
    </row>
    <row r="11" spans="1:10" ht="14.25" customHeight="1" x14ac:dyDescent="0.35">
      <c r="A11" s="29" t="s">
        <v>102</v>
      </c>
      <c r="B11" s="32">
        <v>0.16669999999999999</v>
      </c>
      <c r="C11" s="32">
        <v>0.16</v>
      </c>
      <c r="D11" s="32">
        <v>0.2</v>
      </c>
      <c r="E11" s="32">
        <f>INDEX($B$11:$D$11,$B$20)</f>
        <v>0.16669999999999999</v>
      </c>
    </row>
    <row r="12" spans="1:10" ht="14.25" customHeight="1" x14ac:dyDescent="0.35">
      <c r="A12" s="29" t="s">
        <v>137</v>
      </c>
      <c r="B12" s="31">
        <v>15000</v>
      </c>
      <c r="C12" s="31">
        <v>20000</v>
      </c>
      <c r="D12" s="31">
        <v>12000</v>
      </c>
      <c r="E12" s="31">
        <f>INDEX($B$12:$D$12,$B$20)</f>
        <v>15000</v>
      </c>
    </row>
    <row r="13" spans="1:10" ht="14.25" customHeight="1" x14ac:dyDescent="0.35">
      <c r="A13" s="29" t="s">
        <v>226</v>
      </c>
      <c r="B13" s="32">
        <v>0.1333</v>
      </c>
      <c r="C13" s="32">
        <v>0.1</v>
      </c>
      <c r="D13" s="32">
        <v>0.16</v>
      </c>
      <c r="E13" s="32">
        <f>INDEX($B$13:$D$13,$B$20)</f>
        <v>0.1333</v>
      </c>
    </row>
    <row r="14" spans="1:10" ht="14.25" customHeight="1" x14ac:dyDescent="0.35">
      <c r="A14" s="29" t="s">
        <v>227</v>
      </c>
      <c r="B14" s="32">
        <v>0.1</v>
      </c>
      <c r="C14" s="32">
        <v>0.08</v>
      </c>
      <c r="D14" s="32">
        <v>0.12</v>
      </c>
      <c r="E14" s="32">
        <f>INDEX($B$14:$D$14,$B$20)</f>
        <v>0.1</v>
      </c>
    </row>
    <row r="15" spans="1:10" ht="14.25" customHeight="1" x14ac:dyDescent="0.35">
      <c r="A15" s="29" t="s">
        <v>228</v>
      </c>
      <c r="B15" s="32">
        <v>0.125</v>
      </c>
      <c r="C15" s="32">
        <v>0.14000000000000001</v>
      </c>
      <c r="D15" s="32">
        <v>0.11</v>
      </c>
      <c r="E15" s="32">
        <f>INDEX($B$15:$D$15,$B$20)</f>
        <v>0.125</v>
      </c>
    </row>
    <row r="16" spans="1:10" ht="14.25" customHeight="1" x14ac:dyDescent="0.35">
      <c r="A16" s="29" t="s">
        <v>19</v>
      </c>
      <c r="B16" s="31">
        <v>2</v>
      </c>
      <c r="C16" s="31">
        <v>2.2000000000000002</v>
      </c>
      <c r="D16" s="31">
        <v>1.6</v>
      </c>
      <c r="E16" s="31">
        <f>INDEX($B$16:$D$16,$B$20)</f>
        <v>2</v>
      </c>
    </row>
    <row r="17" spans="1:5" ht="14.25" customHeight="1" x14ac:dyDescent="0.35">
      <c r="A17" s="29" t="s">
        <v>18</v>
      </c>
      <c r="B17" s="31">
        <v>15</v>
      </c>
      <c r="C17" s="31">
        <v>18</v>
      </c>
      <c r="D17" s="31">
        <v>12</v>
      </c>
      <c r="E17" s="31">
        <f>INDEX($B$17:$D$17,$B$20)</f>
        <v>15</v>
      </c>
    </row>
    <row r="20" spans="1:5" ht="14.25" customHeight="1" x14ac:dyDescent="0.35">
      <c r="A20" t="s">
        <v>229</v>
      </c>
      <c r="B20">
        <f>MATCH(B2,B3:D3,0)</f>
        <v>1</v>
      </c>
    </row>
  </sheetData>
  <dataValidations count="1">
    <dataValidation type="list" showInputMessage="1" showErrorMessage="1" sqref="B2" xr:uid="{00000000-0002-0000-0700-000000000000}">
      <formula1>"Base,Best,Worst"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"/>
  <sheetViews>
    <sheetView zoomScaleNormal="100" workbookViewId="0">
      <selection activeCell="E30" sqref="E30"/>
    </sheetView>
  </sheetViews>
  <sheetFormatPr defaultColWidth="8.6328125" defaultRowHeight="14.5" x14ac:dyDescent="0.35"/>
  <cols>
    <col min="1" max="7" width="20" customWidth="1"/>
  </cols>
  <sheetData>
    <row r="1" spans="1:8" ht="18" customHeight="1" x14ac:dyDescent="0.45">
      <c r="A1" s="1" t="s">
        <v>230</v>
      </c>
      <c r="B1" s="1"/>
      <c r="C1" s="1"/>
      <c r="D1" s="1"/>
      <c r="E1" s="1"/>
      <c r="F1" s="1"/>
      <c r="G1" s="1"/>
      <c r="H1" s="1"/>
    </row>
    <row r="3" spans="1:8" ht="14.25" customHeight="1" x14ac:dyDescent="0.35">
      <c r="A3" t="s">
        <v>231</v>
      </c>
    </row>
    <row r="4" spans="1:8" ht="14.25" customHeight="1" x14ac:dyDescent="0.35">
      <c r="A4" t="s">
        <v>232</v>
      </c>
    </row>
    <row r="6" spans="1:8" ht="14.25" customHeight="1" x14ac:dyDescent="0.35">
      <c r="A6" s="5" t="s">
        <v>233</v>
      </c>
      <c r="B6" s="33">
        <v>-0.05</v>
      </c>
      <c r="C6" s="33">
        <v>-2.5000000000000001E-2</v>
      </c>
      <c r="D6" s="33">
        <v>0</v>
      </c>
      <c r="E6" s="33">
        <v>2.5000000000000001E-2</v>
      </c>
      <c r="F6" s="33">
        <v>0.05</v>
      </c>
    </row>
    <row r="7" spans="1:8" ht="14.25" customHeight="1" x14ac:dyDescent="0.35">
      <c r="A7" s="22">
        <v>0.9</v>
      </c>
      <c r="B7" s="23">
        <f t="shared" ref="B7:F11" si="0">((((Scen_Sales*$A7)*(1-(Scen_COGS_Pct+B$6)) - (Scen_Sales*$A7)*(Scen_Sell_Pct+Scen_Admin_Pct+Scen_RnD_Pct) - (Scen_Sales*$A7)*Scen_DA_Pct)-Scen_Interest)-IF((((Scen_Sales*$A7)*(1-(Scen_COGS_Pct+B$6)) - (Scen_Sales*$A7)*(Scen_Sell_Pct+Scen_Admin_Pct+Scen_RnD_Pct) - (Scen_Sales*$A7)*Scen_DA_Pct)-Scen_Interest)&gt;0,(((Scen_Sales*$A7)*(1-(Scen_COGS_Pct+B$6)) - (Scen_Sales*$A7)*(Scen_Sell_Pct+Scen_Admin_Pct+Scen_RnD_Pct) - (Scen_Sales*$A7)*Scen_DA_Pct)-Scen_Interest)*Scen_Tax,0))</f>
        <v>66634.001200000057</v>
      </c>
      <c r="C7" s="23">
        <f t="shared" si="0"/>
        <v>55384.451200000025</v>
      </c>
      <c r="D7" s="23">
        <f t="shared" si="0"/>
        <v>44134.901200000022</v>
      </c>
      <c r="E7" s="23">
        <f t="shared" si="0"/>
        <v>32885.351199999997</v>
      </c>
      <c r="F7" s="23">
        <f t="shared" si="0"/>
        <v>21635.801200000002</v>
      </c>
    </row>
    <row r="8" spans="1:8" ht="14.25" customHeight="1" x14ac:dyDescent="0.35">
      <c r="A8" s="22">
        <v>0.95</v>
      </c>
      <c r="B8" s="23">
        <f t="shared" si="0"/>
        <v>70798.834600000046</v>
      </c>
      <c r="C8" s="23">
        <f t="shared" si="0"/>
        <v>58924.309600000022</v>
      </c>
      <c r="D8" s="23">
        <f t="shared" si="0"/>
        <v>47049.784600000028</v>
      </c>
      <c r="E8" s="23">
        <f t="shared" si="0"/>
        <v>35175.259599999998</v>
      </c>
      <c r="F8" s="23">
        <f t="shared" si="0"/>
        <v>23300.7346</v>
      </c>
    </row>
    <row r="9" spans="1:8" ht="14.25" customHeight="1" x14ac:dyDescent="0.35">
      <c r="A9" s="22">
        <v>1</v>
      </c>
      <c r="B9" s="23">
        <f t="shared" si="0"/>
        <v>74963.668000000049</v>
      </c>
      <c r="C9" s="23">
        <f t="shared" si="0"/>
        <v>62464.168000000027</v>
      </c>
      <c r="D9" s="23">
        <f t="shared" si="0"/>
        <v>49964.668000000027</v>
      </c>
      <c r="E9" s="23">
        <f t="shared" si="0"/>
        <v>37465.167999999998</v>
      </c>
      <c r="F9" s="23">
        <f t="shared" si="0"/>
        <v>24965.668000000001</v>
      </c>
    </row>
    <row r="10" spans="1:8" ht="14.25" customHeight="1" x14ac:dyDescent="0.35">
      <c r="A10" s="22">
        <v>1.05</v>
      </c>
      <c r="B10" s="23">
        <f t="shared" si="0"/>
        <v>79128.501400000052</v>
      </c>
      <c r="C10" s="23">
        <f t="shared" si="0"/>
        <v>66004.026400000032</v>
      </c>
      <c r="D10" s="23">
        <f t="shared" si="0"/>
        <v>52879.551400000026</v>
      </c>
      <c r="E10" s="23">
        <f t="shared" si="0"/>
        <v>39755.076399999998</v>
      </c>
      <c r="F10" s="23">
        <f t="shared" si="0"/>
        <v>26630.6014</v>
      </c>
    </row>
    <row r="11" spans="1:8" ht="14.25" customHeight="1" x14ac:dyDescent="0.35">
      <c r="A11" s="22">
        <v>1.1000000000000001</v>
      </c>
      <c r="B11" s="23">
        <f t="shared" si="0"/>
        <v>83293.334800000055</v>
      </c>
      <c r="C11" s="23">
        <f t="shared" si="0"/>
        <v>69543.884800000029</v>
      </c>
      <c r="D11" s="23">
        <f t="shared" si="0"/>
        <v>55794.434800000025</v>
      </c>
      <c r="E11" s="23">
        <f t="shared" si="0"/>
        <v>42044.984799999998</v>
      </c>
      <c r="F11" s="23">
        <f t="shared" si="0"/>
        <v>28295.534800000001</v>
      </c>
    </row>
  </sheetData>
  <mergeCells count="1">
    <mergeCell ref="A1:H1"/>
  </mergeCells>
  <conditionalFormatting sqref="B7:F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45</vt:i4>
      </vt:variant>
    </vt:vector>
  </HeadingPairs>
  <TitlesOfParts>
    <vt:vector size="57" baseType="lpstr">
      <vt:lpstr>Ratios</vt:lpstr>
      <vt:lpstr>Income Statement</vt:lpstr>
      <vt:lpstr>Common-Size Balance Sheet</vt:lpstr>
      <vt:lpstr>Cash Flow Statement</vt:lpstr>
      <vt:lpstr>FCFF &amp; FCFE</vt:lpstr>
      <vt:lpstr>Common-Size P&amp;L (Charts)</vt:lpstr>
      <vt:lpstr>Dashboard</vt:lpstr>
      <vt:lpstr>Scenarios</vt:lpstr>
      <vt:lpstr>Sensitivity (Net Income)</vt:lpstr>
      <vt:lpstr>Sensitivity (FCFF)</vt:lpstr>
      <vt:lpstr>Tornado (FCFF)</vt:lpstr>
      <vt:lpstr>Tornado (Net Income)</vt:lpstr>
      <vt:lpstr>Accounts_Payable</vt:lpstr>
      <vt:lpstr>Accounts_Receivable</vt:lpstr>
      <vt:lpstr>Beginning_Cash</vt:lpstr>
      <vt:lpstr>CapEx</vt:lpstr>
      <vt:lpstr>COGS</vt:lpstr>
      <vt:lpstr>Current_Assets</vt:lpstr>
      <vt:lpstr>Current_Liabilities</vt:lpstr>
      <vt:lpstr>Delta_AP</vt:lpstr>
      <vt:lpstr>Delta_AR</vt:lpstr>
      <vt:lpstr>Delta_Inventory</vt:lpstr>
      <vt:lpstr>Depreciation_Amortization</vt:lpstr>
      <vt:lpstr>Dividend_per_Share</vt:lpstr>
      <vt:lpstr>Dividends_Paid</vt:lpstr>
      <vt:lpstr>EBIT</vt:lpstr>
      <vt:lpstr>Ending_Cash</vt:lpstr>
      <vt:lpstr>Equity</vt:lpstr>
      <vt:lpstr>Fixed_Assets</vt:lpstr>
      <vt:lpstr>Gross_Profit</vt:lpstr>
      <vt:lpstr>Interest_Expense</vt:lpstr>
      <vt:lpstr>Inventories</vt:lpstr>
      <vt:lpstr>Long_Term_Liabilities</vt:lpstr>
      <vt:lpstr>Net_Borrowing</vt:lpstr>
      <vt:lpstr>Net_Income</vt:lpstr>
      <vt:lpstr>Net_Income_IS</vt:lpstr>
      <vt:lpstr>Sales</vt:lpstr>
      <vt:lpstr>Scen_Admin_Pct</vt:lpstr>
      <vt:lpstr>Scen_CapEx</vt:lpstr>
      <vt:lpstr>Scen_COGS_Pct</vt:lpstr>
      <vt:lpstr>Scen_DA_Pct</vt:lpstr>
      <vt:lpstr>Scen_DAP_Pct</vt:lpstr>
      <vt:lpstr>Scen_DAR_Pct</vt:lpstr>
      <vt:lpstr>Scen_DInv_Pct</vt:lpstr>
      <vt:lpstr>Scen_DivPS</vt:lpstr>
      <vt:lpstr>Scen_Interest</vt:lpstr>
      <vt:lpstr>Scen_RnD_Pct</vt:lpstr>
      <vt:lpstr>Scen_Sales</vt:lpstr>
      <vt:lpstr>Scen_Sell_Pct</vt:lpstr>
      <vt:lpstr>Scen_SharePrice</vt:lpstr>
      <vt:lpstr>Scen_Tax</vt:lpstr>
      <vt:lpstr>Scenario_Col</vt:lpstr>
      <vt:lpstr>Selected_Scenario</vt:lpstr>
      <vt:lpstr>Share_Price</vt:lpstr>
      <vt:lpstr>Shares_Outstanding</vt:lpstr>
      <vt:lpstr>Tax_Rate</vt:lpstr>
      <vt:lpstr>Total_Assets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ATHANASIOS  DAGOUMAS</cp:lastModifiedBy>
  <cp:revision>3</cp:revision>
  <dcterms:created xsi:type="dcterms:W3CDTF">2025-10-21T08:42:22Z</dcterms:created>
  <dcterms:modified xsi:type="dcterms:W3CDTF">2026-05-23T09:00:55Z</dcterms:modified>
  <dc:language>en-US</dc:language>
</cp:coreProperties>
</file>