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ser\Documents\MANAGERIAL ECONOMICS\2026\ΑΣΚΗΣΗ ΘΕΡΜΟΚΗΠΙΟΥ\"/>
    </mc:Choice>
  </mc:AlternateContent>
  <xr:revisionPtr revIDLastSave="0" documentId="8_{4BFCB603-BC09-4DC9-B00D-CDD67CA4F03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Inputs &amp; Summary" sheetId="1" r:id="rId1"/>
    <sheet name="Base" sheetId="2" r:id="rId2"/>
    <sheet name="Σεν.Α' με αύξηση ενέργειας " sheetId="3" r:id="rId3"/>
    <sheet name="Σεν.Β' με αύξηση όλων" sheetId="4" r:id="rId4"/>
    <sheet name="Τιμ. Πολ.Ι" sheetId="5" r:id="rId5"/>
    <sheet name="Τιμ.Πολ.ΙΙ" sheetId="6" r:id="rId6"/>
    <sheet name="Τιμ.Πολ.ΙΙΙ" sheetId="7" r:id="rId7"/>
    <sheet name="Τιμ.Πολ.ΙV" sheetId="8" r:id="rId8"/>
    <sheet name="Συμφ με ΣΜ Ι" sheetId="9" r:id="rId9"/>
    <sheet name="Συμφ με ΣΜ ΙΙ" sheetId="10" r:id="rId10"/>
    <sheet name="Sources" sheetId="11" r:id="rId11"/>
  </sheets>
  <calcPr calcId="191029" forceFullCalc="1"/>
</workbook>
</file>

<file path=xl/calcChain.xml><?xml version="1.0" encoding="utf-8"?>
<calcChain xmlns="http://schemas.openxmlformats.org/spreadsheetml/2006/main">
  <c r="H8" i="2" l="1"/>
  <c r="B13" i="10"/>
  <c r="B11" i="10"/>
  <c r="B10" i="10"/>
  <c r="B9" i="10"/>
  <c r="H8" i="10"/>
  <c r="B8" i="10"/>
  <c r="J13" i="1" s="1"/>
  <c r="B7" i="10"/>
  <c r="E8" i="10" s="1"/>
  <c r="H6" i="10"/>
  <c r="B6" i="10"/>
  <c r="B5" i="10"/>
  <c r="E13" i="1" s="1"/>
  <c r="B13" i="9"/>
  <c r="B12" i="9"/>
  <c r="B11" i="9"/>
  <c r="B10" i="9"/>
  <c r="B9" i="9"/>
  <c r="H8" i="9"/>
  <c r="B8" i="9"/>
  <c r="J12" i="1" s="1"/>
  <c r="B7" i="9"/>
  <c r="E8" i="9" s="1"/>
  <c r="H6" i="9"/>
  <c r="B6" i="9"/>
  <c r="B5" i="9"/>
  <c r="E12" i="1" s="1"/>
  <c r="B13" i="8"/>
  <c r="H8" i="8"/>
  <c r="B8" i="8"/>
  <c r="J11" i="1" s="1"/>
  <c r="B7" i="8"/>
  <c r="E8" i="8" s="1"/>
  <c r="H6" i="8"/>
  <c r="B6" i="8"/>
  <c r="B13" i="7"/>
  <c r="B12" i="7"/>
  <c r="H8" i="7"/>
  <c r="B8" i="7"/>
  <c r="J10" i="1" s="1"/>
  <c r="B7" i="7"/>
  <c r="E8" i="7" s="1"/>
  <c r="H6" i="7"/>
  <c r="B6" i="7"/>
  <c r="B13" i="6"/>
  <c r="H8" i="6"/>
  <c r="B7" i="6"/>
  <c r="E8" i="6" s="1"/>
  <c r="H6" i="6"/>
  <c r="B6" i="6"/>
  <c r="B13" i="5"/>
  <c r="B12" i="5"/>
  <c r="H8" i="5"/>
  <c r="B7" i="5"/>
  <c r="E8" i="5" s="1"/>
  <c r="H6" i="5"/>
  <c r="B6" i="5"/>
  <c r="B13" i="4"/>
  <c r="H8" i="4"/>
  <c r="B7" i="4"/>
  <c r="E8" i="4" s="1"/>
  <c r="H6" i="4"/>
  <c r="B6" i="4"/>
  <c r="B5" i="4"/>
  <c r="F6" i="4" s="1"/>
  <c r="B13" i="3"/>
  <c r="B12" i="3"/>
  <c r="H8" i="3"/>
  <c r="B7" i="3"/>
  <c r="E8" i="3" s="1"/>
  <c r="H6" i="3"/>
  <c r="B6" i="3"/>
  <c r="B5" i="3"/>
  <c r="F6" i="3" s="1"/>
  <c r="B13" i="2"/>
  <c r="B12" i="2"/>
  <c r="B11" i="2"/>
  <c r="B10" i="2"/>
  <c r="B9" i="2"/>
  <c r="B7" i="2"/>
  <c r="E8" i="2" s="1"/>
  <c r="H6" i="2"/>
  <c r="B6" i="2"/>
  <c r="B5" i="2"/>
  <c r="B16" i="1"/>
  <c r="B17" i="1" s="1"/>
  <c r="B18" i="1" s="1"/>
  <c r="B19" i="1" s="1"/>
  <c r="B11" i="1"/>
  <c r="B9" i="6" s="1"/>
  <c r="B8" i="1"/>
  <c r="B8" i="4" s="1"/>
  <c r="J7" i="1" s="1"/>
  <c r="B14" i="2" l="1"/>
  <c r="F5" i="1" s="1"/>
  <c r="E6" i="1"/>
  <c r="B8" i="2"/>
  <c r="J5" i="1" s="1"/>
  <c r="B14" i="9"/>
  <c r="G6" i="9" s="1"/>
  <c r="B8" i="5"/>
  <c r="J8" i="1" s="1"/>
  <c r="B18" i="9"/>
  <c r="B18" i="10"/>
  <c r="B18" i="4"/>
  <c r="F6" i="9"/>
  <c r="F6" i="10"/>
  <c r="B12" i="6"/>
  <c r="B12" i="8"/>
  <c r="B12" i="10"/>
  <c r="B14" i="10" s="1"/>
  <c r="B12" i="4"/>
  <c r="B11" i="6"/>
  <c r="B10" i="6"/>
  <c r="B9" i="8"/>
  <c r="F8" i="3"/>
  <c r="F8" i="9"/>
  <c r="F8" i="2"/>
  <c r="F6" i="2"/>
  <c r="B8" i="3"/>
  <c r="J6" i="1" s="1"/>
  <c r="E5" i="1"/>
  <c r="B9" i="5"/>
  <c r="E7" i="1"/>
  <c r="B9" i="7"/>
  <c r="B8" i="6"/>
  <c r="J9" i="1" s="1"/>
  <c r="B9" i="4"/>
  <c r="B9" i="3"/>
  <c r="F8" i="4"/>
  <c r="F8" i="10"/>
  <c r="G6" i="2" l="1"/>
  <c r="G8" i="2"/>
  <c r="B15" i="2"/>
  <c r="G5" i="1" s="1"/>
  <c r="B19" i="2"/>
  <c r="B20" i="2" s="1"/>
  <c r="B18" i="3"/>
  <c r="B14" i="6"/>
  <c r="F9" i="1" s="1"/>
  <c r="G8" i="9"/>
  <c r="B18" i="2"/>
  <c r="B19" i="9"/>
  <c r="B20" i="9" s="1"/>
  <c r="B21" i="9" s="1"/>
  <c r="K12" i="1" s="1"/>
  <c r="B15" i="9"/>
  <c r="G12" i="1" s="1"/>
  <c r="F12" i="1"/>
  <c r="B19" i="10"/>
  <c r="B20" i="10" s="1"/>
  <c r="B21" i="10" s="1"/>
  <c r="K13" i="1" s="1"/>
  <c r="F13" i="1"/>
  <c r="G6" i="10"/>
  <c r="B15" i="10"/>
  <c r="G8" i="10"/>
  <c r="B11" i="5"/>
  <c r="B10" i="5"/>
  <c r="B11" i="8"/>
  <c r="B10" i="8"/>
  <c r="B11" i="7"/>
  <c r="B10" i="7"/>
  <c r="B11" i="3"/>
  <c r="B10" i="3"/>
  <c r="B10" i="4"/>
  <c r="B11" i="4"/>
  <c r="B16" i="2" l="1"/>
  <c r="B17" i="2" s="1"/>
  <c r="B14" i="7"/>
  <c r="B19" i="7" s="1"/>
  <c r="B20" i="7" s="1"/>
  <c r="G8" i="6"/>
  <c r="B16" i="9"/>
  <c r="H12" i="1" s="1"/>
  <c r="B5" i="6"/>
  <c r="F8" i="6" s="1"/>
  <c r="B19" i="6"/>
  <c r="B20" i="6" s="1"/>
  <c r="G6" i="6"/>
  <c r="B14" i="3"/>
  <c r="F6" i="1" s="1"/>
  <c r="B14" i="8"/>
  <c r="F11" i="1" s="1"/>
  <c r="B21" i="2"/>
  <c r="K5" i="1" s="1"/>
  <c r="B14" i="5"/>
  <c r="B19" i="5" s="1"/>
  <c r="B20" i="5" s="1"/>
  <c r="B16" i="10"/>
  <c r="G13" i="1"/>
  <c r="B14" i="4"/>
  <c r="H5" i="1" l="1"/>
  <c r="E7" i="2"/>
  <c r="G7" i="2" s="1"/>
  <c r="H7" i="2"/>
  <c r="G8" i="7"/>
  <c r="G6" i="7"/>
  <c r="B18" i="6"/>
  <c r="B21" i="6" s="1"/>
  <c r="K9" i="1" s="1"/>
  <c r="F10" i="1"/>
  <c r="B5" i="7"/>
  <c r="F8" i="7" s="1"/>
  <c r="E9" i="1"/>
  <c r="F6" i="6"/>
  <c r="E7" i="9"/>
  <c r="F7" i="9" s="1"/>
  <c r="B15" i="6"/>
  <c r="B16" i="6" s="1"/>
  <c r="B17" i="9"/>
  <c r="I12" i="1" s="1"/>
  <c r="H7" i="9"/>
  <c r="G8" i="3"/>
  <c r="B15" i="3"/>
  <c r="G6" i="1" s="1"/>
  <c r="B19" i="3"/>
  <c r="B20" i="3" s="1"/>
  <c r="B21" i="3" s="1"/>
  <c r="K6" i="1" s="1"/>
  <c r="G6" i="3"/>
  <c r="G8" i="8"/>
  <c r="B5" i="8"/>
  <c r="E11" i="1" s="1"/>
  <c r="B19" i="8"/>
  <c r="B20" i="8" s="1"/>
  <c r="G6" i="8"/>
  <c r="I5" i="1"/>
  <c r="B5" i="5"/>
  <c r="B18" i="5" s="1"/>
  <c r="B21" i="5" s="1"/>
  <c r="K8" i="1" s="1"/>
  <c r="G8" i="5"/>
  <c r="G6" i="5"/>
  <c r="F8" i="1"/>
  <c r="B17" i="10"/>
  <c r="I13" i="1" s="1"/>
  <c r="H7" i="10"/>
  <c r="H13" i="1"/>
  <c r="E7" i="10"/>
  <c r="B19" i="4"/>
  <c r="B20" i="4" s="1"/>
  <c r="B21" i="4" s="1"/>
  <c r="K7" i="1" s="1"/>
  <c r="F7" i="1"/>
  <c r="B15" i="4"/>
  <c r="G8" i="4"/>
  <c r="G6" i="4"/>
  <c r="F7" i="2" l="1"/>
  <c r="G9" i="1"/>
  <c r="B15" i="7"/>
  <c r="B16" i="7" s="1"/>
  <c r="F6" i="7"/>
  <c r="E10" i="1"/>
  <c r="B18" i="7"/>
  <c r="B21" i="7" s="1"/>
  <c r="K10" i="1" s="1"/>
  <c r="G7" i="9"/>
  <c r="B16" i="3"/>
  <c r="E7" i="3" s="1"/>
  <c r="F6" i="5"/>
  <c r="B15" i="5"/>
  <c r="G8" i="1" s="1"/>
  <c r="F8" i="8"/>
  <c r="B18" i="8"/>
  <c r="B21" i="8" s="1"/>
  <c r="K11" i="1" s="1"/>
  <c r="B15" i="8"/>
  <c r="B16" i="8" s="1"/>
  <c r="F6" i="8"/>
  <c r="E8" i="1"/>
  <c r="F8" i="5"/>
  <c r="F7" i="10"/>
  <c r="G7" i="10"/>
  <c r="H7" i="6"/>
  <c r="H9" i="1"/>
  <c r="E7" i="6"/>
  <c r="B17" i="6"/>
  <c r="I9" i="1" s="1"/>
  <c r="G7" i="1"/>
  <c r="B16" i="4"/>
  <c r="G10" i="1" l="1"/>
  <c r="H6" i="1"/>
  <c r="H7" i="3"/>
  <c r="B17" i="3"/>
  <c r="I6" i="1" s="1"/>
  <c r="B16" i="5"/>
  <c r="E7" i="5" s="1"/>
  <c r="G11" i="1"/>
  <c r="G7" i="6"/>
  <c r="F7" i="6"/>
  <c r="H7" i="1"/>
  <c r="B17" i="4"/>
  <c r="I7" i="1" s="1"/>
  <c r="E7" i="4"/>
  <c r="H7" i="4"/>
  <c r="H7" i="8"/>
  <c r="B17" i="8"/>
  <c r="I11" i="1" s="1"/>
  <c r="E7" i="8"/>
  <c r="H11" i="1"/>
  <c r="F7" i="3"/>
  <c r="G7" i="3"/>
  <c r="B17" i="7"/>
  <c r="I10" i="1" s="1"/>
  <c r="E7" i="7"/>
  <c r="H10" i="1"/>
  <c r="H7" i="7"/>
  <c r="H7" i="5" l="1"/>
  <c r="H8" i="1"/>
  <c r="B17" i="5"/>
  <c r="I8" i="1" s="1"/>
  <c r="F7" i="4"/>
  <c r="G7" i="4"/>
  <c r="G7" i="8"/>
  <c r="F7" i="8"/>
  <c r="G7" i="5"/>
  <c r="F7" i="5"/>
  <c r="G7" i="7"/>
  <c r="F7" i="7"/>
</calcChain>
</file>

<file path=xl/sharedStrings.xml><?xml version="1.0" encoding="utf-8"?>
<sst xmlns="http://schemas.openxmlformats.org/spreadsheetml/2006/main" count="400" uniqueCount="198">
  <si>
    <t>Managerial Economics Case Study - Tomato Greenhouse</t>
  </si>
  <si>
    <t>Core user-editable inputs</t>
  </si>
  <si>
    <t>Scenario summary table</t>
  </si>
  <si>
    <t>Selling price (€ / kg)</t>
  </si>
  <si>
    <t>Scenario</t>
  </si>
  <si>
    <t>Price €/kg</t>
  </si>
  <si>
    <t>VC €/kg</t>
  </si>
  <si>
    <t>CM €/kg</t>
  </si>
  <si>
    <t>BEQ kg</t>
  </si>
  <si>
    <t>BE cap.</t>
  </si>
  <si>
    <t>Output kg</t>
  </si>
  <si>
    <t>Profit / loss €</t>
  </si>
  <si>
    <t>Fixed cost (€ / year)</t>
  </si>
  <si>
    <t>Base</t>
  </si>
  <si>
    <t>Total productive capacity (kg)</t>
  </si>
  <si>
    <t>Shock A: price unchanged</t>
  </si>
  <si>
    <t>Current utilisation</t>
  </si>
  <si>
    <t>Shock B: price unchanged</t>
  </si>
  <si>
    <t>Current production (kg)</t>
  </si>
  <si>
    <t>2.1 Full pass-through A</t>
  </si>
  <si>
    <t>Base oil price ($/bbl)</t>
  </si>
  <si>
    <t>2.1 Full pass-through B</t>
  </si>
  <si>
    <t>Shock oil price ($/bbl)</t>
  </si>
  <si>
    <t>2.2 Partial absorb A</t>
  </si>
  <si>
    <t>Oil escalation factor</t>
  </si>
  <si>
    <t>2.2 Partial absorb B</t>
  </si>
  <si>
    <t>Base energy VC (€ / kg)</t>
  </si>
  <si>
    <t>2.3 Contract + hedge A</t>
  </si>
  <si>
    <t>Base fertilizer VC (€ / kg)</t>
  </si>
  <si>
    <t>2.3 Contract + hedge B</t>
  </si>
  <si>
    <t>Base labour VC (€ / kg)</t>
  </si>
  <si>
    <t>Base miscellaneous VC (€ / kg)</t>
  </si>
  <si>
    <t>Base total VC (€ / kg)</t>
  </si>
  <si>
    <t>Base contribution margin (€ / kg)</t>
  </si>
  <si>
    <t>Base break-even quantity (kg)</t>
  </si>
  <si>
    <t>Base break-even capacity %</t>
  </si>
  <si>
    <t>Scenario B labour increase</t>
  </si>
  <si>
    <t>Scenario B misc increase</t>
  </si>
  <si>
    <t>Partial-absorption target output (kg)</t>
  </si>
  <si>
    <t>Contract / supermarket price (€ / kg)</t>
  </si>
  <si>
    <t>Hedge energy in contract scenario? (1=yes,0=no)</t>
  </si>
  <si>
    <t>Hedge fertilizer in contract scenario? (1=yes,0=no)</t>
  </si>
  <si>
    <t>Blue text = editable inputs | Black text = formulas</t>
  </si>
  <si>
    <t>Current operations before oil shock</t>
  </si>
  <si>
    <t>Back to summary</t>
  </si>
  <si>
    <t>Scenario calculations</t>
  </si>
  <si>
    <t>Break-even chart data</t>
  </si>
  <si>
    <t>Quantity</t>
  </si>
  <si>
    <t>Revenue</t>
  </si>
  <si>
    <t>Total cost</t>
  </si>
  <si>
    <t>BE point</t>
  </si>
  <si>
    <t>Capacity (kg)</t>
  </si>
  <si>
    <t>Scenario output (kg)</t>
  </si>
  <si>
    <t>Oil factor</t>
  </si>
  <si>
    <t>Energy VC (€ / kg)</t>
  </si>
  <si>
    <t>Fertilizer VC (€ / kg)</t>
  </si>
  <si>
    <t>Labour VC (€ / kg)</t>
  </si>
  <si>
    <t>Misc VC (€ / kg)</t>
  </si>
  <si>
    <t>Total VC (€ / kg)</t>
  </si>
  <si>
    <t>Contribution margin (€ / kg)</t>
  </si>
  <si>
    <t>Break-even quantity (kg)</t>
  </si>
  <si>
    <t>Break-even capacity %</t>
  </si>
  <si>
    <t>Revenue at scenario output (€)</t>
  </si>
  <si>
    <t>Variable cost at scenario output (€)</t>
  </si>
  <si>
    <t>Total cost at scenario output (€)</t>
  </si>
  <si>
    <t>Profit / loss (€)</t>
  </si>
  <si>
    <t>Shock A</t>
  </si>
  <si>
    <t>Oil at $120/bbl; labour and misc stable</t>
  </si>
  <si>
    <t>Shock B</t>
  </si>
  <si>
    <t>Oil at $120/bbl; labour +20%, misc +20%</t>
  </si>
  <si>
    <t>Pass A</t>
  </si>
  <si>
    <t>Full transfer of input-cost increase to consumer</t>
  </si>
  <si>
    <t>Pass B</t>
  </si>
  <si>
    <t>Full transfer, with labour and misc also up 20%</t>
  </si>
  <si>
    <t>Price set for break-even at target output</t>
  </si>
  <si>
    <t>Partial B</t>
  </si>
  <si>
    <t>Price set for break-even at target output with higher labour &amp; misc</t>
  </si>
  <si>
    <t>Contract A</t>
  </si>
  <si>
    <t>100% of output contracted; energy &amp; fertilizer hedged</t>
  </si>
  <si>
    <t>Contract B</t>
  </si>
  <si>
    <t>100% of output contracted; labour &amp; misc higher</t>
  </si>
  <si>
    <t>Sources used in workbook</t>
  </si>
  <si>
    <t>Source</t>
  </si>
  <si>
    <t>Details</t>
  </si>
  <si>
    <t>Price, fixed cost, capacity, current output and baseline variable-cost structure were taken from the user's tomato greenhouse case.</t>
  </si>
  <si>
    <t>Uploaded Bloomberg oil document</t>
  </si>
  <si>
    <t>OIL PRICES AS PER 19TH MARCH NY CLOSING AND After Qatar LNG Plant Outage More Buyers Turn to US Suppliers.docx</t>
  </si>
  <si>
    <t>Uploaded Bloomberg food-chain document</t>
  </si>
  <si>
    <t>How Iran War Is Disrupting the Food Supply Chain.docx</t>
  </si>
  <si>
    <t>Break-even με τα σημερινά δεδομένα</t>
  </si>
  <si>
    <t>Βήμα 1: Contribution margin ανά κιλό</t>
  </si>
  <si>
    <t>Βήμα 2: Break-even quantity</t>
  </si>
  <si>
    <t>Βήμα 3: Break-even ως ποσοστό δυναμικότητας</t>
  </si>
  <si>
    <t>Βήμα 4: Αποτέλεσμα στη σημερινή παραγωγή (1.800.000 kg)</t>
  </si>
  <si>
    <r>
      <t>Νεκρό σημείο: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2.100.000 kg</t>
    </r>
  </si>
  <si>
    <r>
      <t>Νεκρό σημείο ως αξιοποίηση δυναμικότητας: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70%</t>
    </r>
  </si>
  <si>
    <r>
      <t xml:space="preserve">Με σημερινή παραγωγή </t>
    </r>
    <r>
      <rPr>
        <b/>
        <sz val="11"/>
        <color theme="1"/>
        <rFont val="Calibri"/>
        <family val="2"/>
        <scheme val="minor"/>
      </rPr>
      <t>1.800.000 kg</t>
    </r>
    <r>
      <rPr>
        <sz val="11"/>
        <color theme="1"/>
        <rFont val="Calibri"/>
        <family val="2"/>
        <scheme val="minor"/>
      </rPr>
      <t>, η επιχείρηση έχει:</t>
    </r>
  </si>
  <si>
    <t>ζημία 60.000 €</t>
  </si>
  <si>
    <r>
      <t xml:space="preserve">άρα </t>
    </r>
    <r>
      <rPr>
        <b/>
        <sz val="11"/>
        <color theme="1"/>
        <rFont val="Calibri"/>
        <family val="2"/>
        <scheme val="minor"/>
      </rPr>
      <t>λειτουργεί κάτω από το νεκρό σημείο</t>
    </r>
  </si>
  <si>
    <t>CM=P−VC=0,65−0,45=0,20 €/kg</t>
  </si>
  <si>
    <t>QBE=FCP−(P-VC)=420.0000/0,20=2.100.000 kg</t>
  </si>
  <si>
    <t>2.100.000/3.000.000=70%</t>
  </si>
  <si>
    <t>Π=(P−VC)⋅Q−FC=0,20⋅1.800.000−420.000</t>
  </si>
  <si>
    <t>Π=360.000−420.000=−60.000 €</t>
  </si>
  <si>
    <t xml:space="preserve">Συμπέρασμα Βασικού Σεναρίου </t>
  </si>
  <si>
    <t>Νέο break-even με πετρέλαιο 120$/bbl αντί 64$/bbl</t>
  </si>
  <si>
    <t>Συντελεστής αύξησης</t>
  </si>
  <si>
    <t>120/64​=1,875</t>
  </si>
  <si>
    <t>Νέα ενεργειακή δαπάνη</t>
  </si>
  <si>
    <t>0,15×1,875=0,28125 €/kg</t>
  </si>
  <si>
    <t>Νέα δαπάνη λιπάσματος</t>
  </si>
  <si>
    <t>0,10×1,875=0,18750 €/kg</t>
  </si>
  <si>
    <t>Θεωρούμε ότι ενέργεια και λίπασμα αυξάνονται αναλογικά με την αύξηση της τιμής πετρελαίου.</t>
  </si>
  <si>
    <t>Σενάριο Α: εργασία και διάφορα σταθερά</t>
  </si>
  <si>
    <t>Ενέργεια: 0,28125</t>
  </si>
  <si>
    <t>Λίπασμα: 0,18750</t>
  </si>
  <si>
    <t>Εργάτες: 0,15000</t>
  </si>
  <si>
    <t>Διάφορα: 0,05000</t>
  </si>
  <si>
    <t>VCA=0,28125+0,18750+0,15+0,05=0,66875 €/kg</t>
  </si>
  <si>
    <t>Σενάριο Β: εργασία +20% και διάφορα +20%</t>
  </si>
  <si>
    <t>Εργάτες:</t>
  </si>
  <si>
    <t>Διάφορα:</t>
  </si>
  <si>
    <t>Άρα:</t>
  </si>
  <si>
    <t>Πρώτη πολύ σημαντική παρατήρηση για την τάξη</t>
  </si>
  <si>
    <t>Σενάριο Α</t>
  </si>
  <si>
    <t>Σενάριο Β</t>
  </si>
  <si>
    <t>Άρα και στα δύο:</t>
  </si>
  <si>
    <t>η συμβολή ανά μονάδα γίνεται αρνητική</t>
  </si>
  <si>
    <t>δεν υπάρχει break-even</t>
  </si>
  <si>
    <t>όσο περισσότερο παράγεις, τόσο περισσότερο χάνεις</t>
  </si>
  <si>
    <t>Αυτό είναι εξαιρετικά διδακτικό:</t>
  </si>
  <si>
    <t>όταν το VC υπερβαίνει την τιμή πώλησης, η επιχείρηση δεν σώζεται με αύξηση όγκου μόνο.</t>
  </si>
  <si>
    <t xml:space="preserve">0,15×1,20=0,18 </t>
  </si>
  <si>
    <t xml:space="preserve">0,05×1,20=0,06 </t>
  </si>
  <si>
    <t xml:space="preserve">VCB=0,28125+0,18750+0,18+0,06=0,70875 €/kg </t>
  </si>
  <si>
    <t xml:space="preserve">CMA=0,65−0,66875=−0,01875 </t>
  </si>
  <si>
    <t xml:space="preserve">CMB=0,65−0,70875=−0,05875 </t>
  </si>
  <si>
    <r>
      <t xml:space="preserve">Αν </t>
    </r>
    <r>
      <rPr>
        <b/>
        <sz val="14"/>
        <color theme="1"/>
        <rFont val="Calibri"/>
        <family val="2"/>
        <scheme val="minor"/>
      </rPr>
      <t>η τιμή μείνει 0,65 €/kg</t>
    </r>
    <r>
      <rPr>
        <sz val="14"/>
        <color theme="1"/>
        <rFont val="Calibri"/>
        <family val="2"/>
        <scheme val="minor"/>
      </rPr>
      <t>, τότε:</t>
    </r>
  </si>
  <si>
    <t>case study data</t>
  </si>
  <si>
    <t>Πλήρης μετατόπιση της αύξησης κόστους στον καταναλωτή</t>
  </si>
  <si>
    <r>
      <t xml:space="preserve">Εδώ υποθέτουμε ότι η επιχείρηση θέλει να διατηρήσει </t>
    </r>
    <r>
      <rPr>
        <b/>
        <sz val="11"/>
        <color theme="1"/>
        <rFont val="Calibri"/>
        <family val="2"/>
        <scheme val="minor"/>
      </rPr>
      <t>το ίδιο contribution margin όπως πριν</t>
    </r>
    <r>
      <rPr>
        <sz val="11"/>
        <color theme="1"/>
        <rFont val="Calibri"/>
        <family val="2"/>
        <scheme val="minor"/>
      </rPr>
      <t>, δηλαδή:</t>
    </r>
  </si>
  <si>
    <t>Νέα τιμή στο Σενάριο Α</t>
  </si>
  <si>
    <t>Νέα τιμή στο Σενάριο Β</t>
  </si>
  <si>
    <t>Νέο break-even</t>
  </si>
  <si>
    <t>Αφού το contribution margin παραμένει 0,20:</t>
  </si>
  <si>
    <t>Συμπέρασμα 2.1</t>
  </si>
  <si>
    <r>
      <t>Σενάριο Α:</t>
    </r>
    <r>
      <rPr>
        <sz val="11"/>
        <color theme="1"/>
        <rFont val="Calibri"/>
        <family val="2"/>
        <scheme val="minor"/>
      </rPr>
      <t xml:space="preserve"> νέα τιμή </t>
    </r>
    <r>
      <rPr>
        <b/>
        <sz val="11"/>
        <color theme="1"/>
        <rFont val="Calibri"/>
        <family val="2"/>
        <scheme val="minor"/>
      </rPr>
      <t>0,86875 €/kg</t>
    </r>
  </si>
  <si>
    <r>
      <t>Σενάριο Β:</t>
    </r>
    <r>
      <rPr>
        <sz val="11"/>
        <color theme="1"/>
        <rFont val="Calibri"/>
        <family val="2"/>
        <scheme val="minor"/>
      </rPr>
      <t xml:space="preserve"> νέα τιμή </t>
    </r>
    <r>
      <rPr>
        <b/>
        <sz val="11"/>
        <color theme="1"/>
        <rFont val="Calibri"/>
        <family val="2"/>
        <scheme val="minor"/>
      </rPr>
      <t>0,90875 €/kg</t>
    </r>
  </si>
  <si>
    <t>Break-even παραμένει 2.100.000 kg</t>
  </si>
  <si>
    <t>Διοικητική ερμηνεία</t>
  </si>
  <si>
    <r>
      <t xml:space="preserve">Η πλήρης μετακύλιση προστατεύει το περιθώριο, </t>
    </r>
    <r>
      <rPr>
        <b/>
        <sz val="11"/>
        <color theme="1"/>
        <rFont val="Calibri"/>
        <family val="2"/>
        <scheme val="minor"/>
      </rPr>
      <t>αλλά δεν λύνει το πρόβλημα της χαμηλής αξιοποίησης</t>
    </r>
    <r>
      <rPr>
        <sz val="11"/>
        <color theme="1"/>
        <rFont val="Calibri"/>
        <family val="2"/>
        <scheme val="minor"/>
      </rPr>
      <t>.</t>
    </r>
  </si>
  <si>
    <r>
      <t xml:space="preserve">Αν παραμείνουμε στα </t>
    </r>
    <r>
      <rPr>
        <b/>
        <sz val="11"/>
        <color theme="1"/>
        <rFont val="Calibri"/>
        <family val="2"/>
        <scheme val="minor"/>
      </rPr>
      <t>1.800.000 kg</t>
    </r>
    <r>
      <rPr>
        <sz val="11"/>
        <color theme="1"/>
        <rFont val="Calibri"/>
        <family val="2"/>
        <scheme val="minor"/>
      </rPr>
      <t xml:space="preserve">, η επιχείρηση συνεχίζει να είναι </t>
    </r>
    <r>
      <rPr>
        <b/>
        <sz val="11"/>
        <color theme="1"/>
        <rFont val="Calibri"/>
        <family val="2"/>
        <scheme val="minor"/>
      </rPr>
      <t>κάτω από το νεκρό σημείο</t>
    </r>
    <r>
      <rPr>
        <sz val="11"/>
        <color theme="1"/>
        <rFont val="Calibri"/>
        <family val="2"/>
        <scheme val="minor"/>
      </rPr>
      <t>.</t>
    </r>
  </si>
  <si>
    <t xml:space="preserve">CM=0,20 €/kg </t>
  </si>
  <si>
    <t xml:space="preserve">PA=VCA+0,20=0,66875+0,20=0,86875 €/kg </t>
  </si>
  <si>
    <t>PB=VCB+0,20=0,70875+0,20=0,90875 €/kg</t>
  </si>
  <si>
    <t>QBE=420.0000,20=2.100.000 kg</t>
  </si>
  <si>
    <t>Απορρόφηση μέρους του κόστους και τιμολόγηση ώστε να βρεθούμε πάνω από το νεκρό σημείο</t>
  </si>
  <si>
    <r>
      <t xml:space="preserve">Εδώ υπάρχει μια μικρή ασάφεια στο case, άρα για διδακτικούς λόγους δίνω τη </t>
    </r>
    <r>
      <rPr>
        <b/>
        <sz val="11"/>
        <color theme="1"/>
        <rFont val="Calibri"/>
        <family val="2"/>
        <scheme val="minor"/>
      </rPr>
      <t>σωστή γενική φόρμουλα</t>
    </r>
    <r>
      <rPr>
        <sz val="11"/>
        <color theme="1"/>
        <rFont val="Calibri"/>
        <family val="2"/>
        <scheme val="minor"/>
      </rPr>
      <t xml:space="preserve"> και ένα </t>
    </r>
    <r>
      <rPr>
        <b/>
        <sz val="11"/>
        <color theme="1"/>
        <rFont val="Calibri"/>
        <family val="2"/>
        <scheme val="minor"/>
      </rPr>
      <t>χρήσιμο παράδειγμα</t>
    </r>
    <r>
      <rPr>
        <sz val="11"/>
        <color theme="1"/>
        <rFont val="Calibri"/>
        <family val="2"/>
        <scheme val="minor"/>
      </rPr>
      <t>.</t>
    </r>
  </si>
  <si>
    <t>Γενική συνθήκη</t>
  </si>
  <si>
    <t>Άρα, όσο μεγαλύτερος ο όγκος, τόσο μικρότερο fixed cost ανά κιλό και τόσο χαμηλότερη η απαιτούμενη τιμή.</t>
  </si>
  <si>
    <t>Παράδειγμα Α: στόχος να είμαστε στο break-even στη σημερινή παραγωγή 1.800.000 kg</t>
  </si>
  <si>
    <t>Παράδειγμα Β: στόχος παραγωγής 2.400.000 kg (80% δυναμικότητας)</t>
  </si>
  <si>
    <t>Αυτό είναι το πιο managerial σημείο της άσκησης:</t>
  </si>
  <si>
    <t>αν αυξήσεις παραγωγή,</t>
  </si>
  <si>
    <t>διαχέεις το fixed cost σε περισσότερες μονάδες,</t>
  </si>
  <si>
    <t>Για έναν στοχευόμενο όγκο παραγωγής 𝑄∗, η ελάχιστη τιμή που απαιτείται για break-even είναι:</t>
  </si>
  <si>
    <t>P∗=VC+FC​/Q</t>
  </si>
  <si>
    <t>FCQ∗=420.000/1.800.000=0,23333 €/kg</t>
  </si>
  <si>
    <t>PA∗=0,66875+0,23333=0,90208 €/kg</t>
  </si>
  <si>
    <t>PB∗=0,70875+0,23333=0,94208 €/kg</t>
  </si>
  <si>
    <t>420.000/2.400.000=0,175 €/kg</t>
  </si>
  <si>
    <t>PA∗=0,66875+0,175=0,84375 €/kg</t>
  </si>
  <si>
    <t>PB∗=0,70875+0,175=0,88375 €/kg</t>
  </si>
  <si>
    <r>
      <t xml:space="preserve">Αυτές οι τιμές φέρνουν την επιχείρηση </t>
    </r>
    <r>
      <rPr>
        <b/>
        <sz val="14"/>
        <color theme="1"/>
        <rFont val="Calibri"/>
        <family val="2"/>
        <scheme val="minor"/>
      </rPr>
      <t>ακριβώς</t>
    </r>
    <r>
      <rPr>
        <sz val="14"/>
        <color theme="1"/>
        <rFont val="Calibri"/>
        <family val="2"/>
        <scheme val="minor"/>
      </rPr>
      <t xml:space="preserve"> στο break-even στα 1,8 εκ. κιλά.</t>
    </r>
  </si>
  <si>
    <r>
      <t xml:space="preserve">άρα μπορείς να ζητήσεις </t>
    </r>
    <r>
      <rPr>
        <b/>
        <sz val="14"/>
        <color theme="1"/>
        <rFont val="Calibri"/>
        <family val="2"/>
        <scheme val="minor"/>
      </rPr>
      <t>μικρότερη</t>
    </r>
    <r>
      <rPr>
        <sz val="14"/>
        <color theme="1"/>
        <rFont val="Calibri"/>
        <family val="2"/>
        <scheme val="minor"/>
      </rPr>
      <t xml:space="preserve"> αύξηση τιμής από ό,τι αν μείνεις σε χαμηλό όγκο.</t>
    </r>
  </si>
  <si>
    <t>Συμβολαιακή γεωργία με μεγάλο supermarket + hedging σε ενέργεια και λίπασμα</t>
  </si>
  <si>
    <t>Εδώ η λογική αλλάζει πλήρως.</t>
  </si>
  <si>
    <t>Υπόθεση</t>
  </si>
  <si>
    <t>Με συμβολαιακή γεωργία:</t>
  </si>
  <si>
    <r>
      <t xml:space="preserve">1. το supermarket απορροφά </t>
    </r>
    <r>
      <rPr>
        <b/>
        <sz val="11"/>
        <color theme="1"/>
        <rFont val="Calibri"/>
        <family val="2"/>
        <scheme val="minor"/>
      </rPr>
      <t>το 100% της παραγωγής</t>
    </r>
  </si>
  <si>
    <r>
      <t xml:space="preserve">2. άρα η επιχείρηση μπορεί να δουλέψει στην </t>
    </r>
    <r>
      <rPr>
        <b/>
        <sz val="11"/>
        <color theme="1"/>
        <rFont val="Calibri"/>
        <family val="2"/>
        <scheme val="minor"/>
      </rPr>
      <t>πλήρη δυναμικότητα 3.000.000 kg</t>
    </r>
  </si>
  <si>
    <t>3. και μέσω προαγοράς / αντιστάθμισης κινδύνου «κλειδώνει»:</t>
  </si>
  <si>
    <r>
      <t xml:space="preserve">ενέργεια στο παλιό επίπεδο: </t>
    </r>
    <r>
      <rPr>
        <b/>
        <sz val="11"/>
        <color theme="1"/>
        <rFont val="Calibri"/>
        <family val="2"/>
        <scheme val="minor"/>
      </rPr>
      <t>0,15</t>
    </r>
  </si>
  <si>
    <r>
      <t xml:space="preserve">λίπασμα στο παλιό επίπεδο: </t>
    </r>
    <r>
      <rPr>
        <b/>
        <sz val="11"/>
        <color theme="1"/>
        <rFont val="Calibri"/>
        <family val="2"/>
        <scheme val="minor"/>
      </rPr>
      <t>0,10</t>
    </r>
  </si>
  <si>
    <t>Hedged VC – Σενάριο Α</t>
  </si>
  <si>
    <t>Hedged VC – Σενάριο Β</t>
  </si>
  <si>
    <t>VCH,A=0,15+0,10+0,15+0,05=0,45 €/kg</t>
  </si>
  <si>
    <t>VCH,B=0,15+0,10+0,18+0,06=0,49 €/kg</t>
  </si>
  <si>
    <t>Break-even price σε πλήρη παραγωγή 3.000.000 kg</t>
  </si>
  <si>
    <t>Αν το συμβόλαιο κλειδώσει στην τρέχουσα τιμή 0,65 €/kg</t>
  </si>
  <si>
    <t>Το συμβολαιακό μοντέλο:</t>
  </si>
  <si>
    <t>μειώνει την αβεβαιότητα ζήτησης</t>
  </si>
  <si>
    <t>αυξάνει τη χρησιμοποίηση δυναμικότητας</t>
  </si>
  <si>
    <t>διευκολύνει hedging/input procurement</t>
  </si>
  <si>
    <t>μειώνει τον κίνδυνο cash-flow</t>
  </si>
  <si>
    <t>επιτρέπει πιο σταθερή τιμολογιακή πολιτική</t>
  </si>
  <si>
    <r>
      <t xml:space="preserve">Άρα είναι η πιο κοντινή επιλογή σε </t>
    </r>
    <r>
      <rPr>
        <b/>
        <sz val="11"/>
        <color theme="1"/>
        <rFont val="Calibri"/>
        <family val="2"/>
        <scheme val="minor"/>
      </rPr>
      <t>risk-managed managerial strategy</t>
    </r>
    <r>
      <rPr>
        <sz val="11"/>
        <color theme="1"/>
        <rFont val="Calibri"/>
        <family val="2"/>
        <scheme val="minor"/>
      </rPr>
      <t>.</t>
    </r>
  </si>
  <si>
    <t>FC/3.000.000=0,14 €/kg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</si>
</sst>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€#,##0.00;[Red]\(\€#,##0.00\);\-"/>
    <numFmt numFmtId="165" formatCode="\€#,##0.0000;[Red]\(\€#,##0.0000\);\-"/>
    <numFmt numFmtId="166" formatCode="\€#,##0;[Red]\(\€#,##0\);\-"/>
    <numFmt numFmtId="167" formatCode="#,##0;[Red]\(#,##0\);\-"/>
    <numFmt numFmtId="168" formatCode="0.0%"/>
    <numFmt numFmtId="169" formatCode="0.0000"/>
  </numFmts>
  <fonts count="14" x14ac:knownFonts="1">
    <font>
      <sz val="11"/>
      <color theme="1"/>
      <name val="Calibri"/>
      <family val="2"/>
      <scheme val="minor"/>
    </font>
    <font>
      <b/>
      <sz val="12"/>
      <color rgb="FFFFFFFF"/>
      <name val="Calibri"/>
    </font>
    <font>
      <b/>
      <sz val="12"/>
      <name val="Calibri"/>
    </font>
    <font>
      <sz val="11"/>
      <color rgb="FF0000FF"/>
      <name val="Calibri"/>
    </font>
    <font>
      <sz val="11"/>
      <color rgb="FF000000"/>
      <name val="Calibri"/>
    </font>
    <font>
      <sz val="11"/>
      <color rgb="FF666666"/>
      <name val="Calibri"/>
    </font>
    <font>
      <sz val="12"/>
      <color theme="10"/>
      <name val="Calibri"/>
      <family val="2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FFF2CC"/>
      </patternFill>
    </fill>
    <fill>
      <patternFill patternType="solid">
        <fgColor rgb="FFEDEDED"/>
      </patternFill>
    </fill>
  </fills>
  <borders count="2">
    <border>
      <left/>
      <right/>
      <top/>
      <bottom/>
      <diagonal/>
    </border>
    <border>
      <left style="thin">
        <color rgb="FF9FBAD0"/>
      </left>
      <right style="thin">
        <color rgb="FF9FBAD0"/>
      </right>
      <top style="thin">
        <color rgb="FF9FBAD0"/>
      </top>
      <bottom style="thin">
        <color rgb="FF9FBAD0"/>
      </bottom>
      <diagonal/>
    </border>
  </borders>
  <cellStyleXfs count="2">
    <xf numFmtId="0" fontId="0" fillId="0" borderId="0"/>
    <xf numFmtId="0" fontId="6" fillId="0" borderId="0"/>
  </cellStyleXfs>
  <cellXfs count="43">
    <xf numFmtId="0" fontId="0" fillId="0" borderId="0" xfId="0"/>
    <xf numFmtId="0" fontId="2" fillId="3" borderId="0" xfId="0" applyFont="1" applyFill="1"/>
    <xf numFmtId="0" fontId="0" fillId="0" borderId="1" xfId="0" applyBorder="1"/>
    <xf numFmtId="164" fontId="3" fillId="4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166" fontId="3" fillId="4" borderId="1" xfId="0" applyNumberFormat="1" applyFont="1" applyFill="1" applyBorder="1"/>
    <xf numFmtId="0" fontId="6" fillId="0" borderId="0" xfId="1"/>
    <xf numFmtId="164" fontId="0" fillId="0" borderId="1" xfId="0" applyNumberFormat="1" applyBorder="1"/>
    <xf numFmtId="165" fontId="0" fillId="0" borderId="1" xfId="0" applyNumberFormat="1" applyBorder="1"/>
    <xf numFmtId="167" fontId="0" fillId="0" borderId="1" xfId="0" applyNumberFormat="1" applyBorder="1"/>
    <xf numFmtId="168" fontId="0" fillId="0" borderId="1" xfId="0" applyNumberFormat="1" applyBorder="1"/>
    <xf numFmtId="166" fontId="0" fillId="0" borderId="1" xfId="0" applyNumberFormat="1" applyBorder="1"/>
    <xf numFmtId="167" fontId="3" fillId="4" borderId="1" xfId="0" applyNumberFormat="1" applyFont="1" applyFill="1" applyBorder="1"/>
    <xf numFmtId="168" fontId="3" fillId="4" borderId="1" xfId="0" applyNumberFormat="1" applyFont="1" applyFill="1" applyBorder="1"/>
    <xf numFmtId="167" fontId="4" fillId="5" borderId="1" xfId="0" applyNumberFormat="1" applyFont="1" applyFill="1" applyBorder="1"/>
    <xf numFmtId="2" fontId="3" fillId="4" borderId="1" xfId="0" applyNumberFormat="1" applyFont="1" applyFill="1" applyBorder="1"/>
    <xf numFmtId="169" fontId="4" fillId="5" borderId="1" xfId="0" applyNumberFormat="1" applyFont="1" applyFill="1" applyBorder="1"/>
    <xf numFmtId="165" fontId="3" fillId="4" borderId="1" xfId="0" applyNumberFormat="1" applyFont="1" applyFill="1" applyBorder="1"/>
    <xf numFmtId="165" fontId="4" fillId="5" borderId="1" xfId="0" applyNumberFormat="1" applyFont="1" applyFill="1" applyBorder="1"/>
    <xf numFmtId="168" fontId="4" fillId="5" borderId="1" xfId="0" applyNumberFormat="1" applyFont="1" applyFill="1" applyBorder="1"/>
    <xf numFmtId="1" fontId="3" fillId="4" borderId="1" xfId="0" applyNumberFormat="1" applyFont="1" applyFill="1" applyBorder="1"/>
    <xf numFmtId="0" fontId="7" fillId="3" borderId="0" xfId="0" applyFont="1" applyFill="1"/>
    <xf numFmtId="0" fontId="1" fillId="2" borderId="1" xfId="0" applyFont="1" applyFill="1" applyBorder="1"/>
    <xf numFmtId="167" fontId="0" fillId="0" borderId="0" xfId="0" applyNumberFormat="1"/>
    <xf numFmtId="166" fontId="0" fillId="0" borderId="0" xfId="0" applyNumberFormat="1"/>
    <xf numFmtId="169" fontId="0" fillId="0" borderId="1" xfId="0" applyNumberFormat="1" applyBorder="1"/>
    <xf numFmtId="0" fontId="1" fillId="2" borderId="0" xfId="0" applyFont="1" applyFill="1"/>
    <xf numFmtId="0" fontId="5" fillId="5" borderId="0" xfId="0" applyFont="1" applyFill="1"/>
    <xf numFmtId="0" fontId="0" fillId="0" borderId="0" xfId="0"/>
    <xf numFmtId="0" fontId="1" fillId="2" borderId="0" xfId="0" applyFont="1" applyFill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8" fillId="0" borderId="0" xfId="0" applyFont="1"/>
    <xf numFmtId="0" fontId="8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8" fillId="0" borderId="0" xfId="0" applyFont="1" applyAlignment="1">
      <alignment horizontal="left" vertical="center" indent="2"/>
    </xf>
    <xf numFmtId="0" fontId="13" fillId="0" borderId="0" xfId="0" applyFont="1"/>
    <xf numFmtId="0" fontId="12" fillId="0" borderId="0" xfId="0" applyFont="1"/>
    <xf numFmtId="0" fontId="13" fillId="0" borderId="0" xfId="0" applyFont="1" applyAlignment="1">
      <alignment horizontal="left" vertical="center" indent="1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left" vertical="center" inden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Profit / loss by scenario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'Inputs &amp; Summary'!$K$4</c:f>
              <c:strCache>
                <c:ptCount val="1"/>
                <c:pt idx="0">
                  <c:v>Profit / loss €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'Inputs &amp; Summary'!$D$5:$D$13</c:f>
              <c:strCache>
                <c:ptCount val="9"/>
                <c:pt idx="0">
                  <c:v>Base</c:v>
                </c:pt>
                <c:pt idx="1">
                  <c:v>Shock A: price unchanged</c:v>
                </c:pt>
                <c:pt idx="2">
                  <c:v>Shock B: price unchanged</c:v>
                </c:pt>
                <c:pt idx="3">
                  <c:v>2.1 Full pass-through A</c:v>
                </c:pt>
                <c:pt idx="4">
                  <c:v>2.1 Full pass-through B</c:v>
                </c:pt>
                <c:pt idx="5">
                  <c:v>2.2 Partial absorb A</c:v>
                </c:pt>
                <c:pt idx="6">
                  <c:v>2.2 Partial absorb B</c:v>
                </c:pt>
                <c:pt idx="7">
                  <c:v>2.3 Contract + hedge A</c:v>
                </c:pt>
                <c:pt idx="8">
                  <c:v>2.3 Contract + hedge B</c:v>
                </c:pt>
              </c:strCache>
            </c:strRef>
          </c:cat>
          <c:val>
            <c:numRef>
              <c:f>'Inputs &amp; Summary'!$K$5:$K$13</c:f>
              <c:numCache>
                <c:formatCode>\€#,##0;[Red]\(\€#,##0\);\-</c:formatCode>
                <c:ptCount val="9"/>
                <c:pt idx="0">
                  <c:v>-60000</c:v>
                </c:pt>
                <c:pt idx="1">
                  <c:v>-453750.00000000023</c:v>
                </c:pt>
                <c:pt idx="2">
                  <c:v>-660750</c:v>
                </c:pt>
                <c:pt idx="3">
                  <c:v>-60000</c:v>
                </c:pt>
                <c:pt idx="4">
                  <c:v>-60000.000000000233</c:v>
                </c:pt>
                <c:pt idx="5">
                  <c:v>0</c:v>
                </c:pt>
                <c:pt idx="6">
                  <c:v>0</c:v>
                </c:pt>
                <c:pt idx="7">
                  <c:v>480000</c:v>
                </c:pt>
                <c:pt idx="8">
                  <c:v>135000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9-4552-B57A-DEBFD66C4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numFmt formatCode="\€#,##0;[Red]\(\€#,##0\);\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Contract B - Break-even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'Συμφ με ΣΜ ΙΙ'!$F$5</c:f>
              <c:strCache>
                <c:ptCount val="1"/>
                <c:pt idx="0">
                  <c:v>Revenue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'Συμφ με ΣΜ ΙΙ'!$E$6:$E$8</c:f>
              <c:numCache>
                <c:formatCode>#,##0;[Red]\(#,##0\);\-</c:formatCode>
                <c:ptCount val="3"/>
                <c:pt idx="0">
                  <c:v>0</c:v>
                </c:pt>
                <c:pt idx="1">
                  <c:v>2270270.2702702698</c:v>
                </c:pt>
                <c:pt idx="2">
                  <c:v>3000000</c:v>
                </c:pt>
              </c:numCache>
            </c:numRef>
          </c:cat>
          <c:val>
            <c:numRef>
              <c:f>'Συμφ με ΣΜ ΙΙ'!$F$6:$F$8</c:f>
              <c:numCache>
                <c:formatCode>\€#,##0;[Red]\(\€#,##0\);\-</c:formatCode>
                <c:ptCount val="3"/>
                <c:pt idx="0">
                  <c:v>0</c:v>
                </c:pt>
                <c:pt idx="1">
                  <c:v>1702702.7027027025</c:v>
                </c:pt>
                <c:pt idx="2">
                  <c:v>2250000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984-4CB9-A970-825FAF18BBE6}"/>
            </c:ext>
          </c:extLst>
        </c:ser>
        <c:ser>
          <c:idx val="1"/>
          <c:order val="1"/>
          <c:tx>
            <c:strRef>
              <c:f>'Συμφ με ΣΜ ΙΙ'!$G$5</c:f>
              <c:strCache>
                <c:ptCount val="1"/>
                <c:pt idx="0">
                  <c:v>Total cost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'Συμφ με ΣΜ ΙΙ'!$E$6:$E$8</c:f>
              <c:numCache>
                <c:formatCode>#,##0;[Red]\(#,##0\);\-</c:formatCode>
                <c:ptCount val="3"/>
                <c:pt idx="0">
                  <c:v>0</c:v>
                </c:pt>
                <c:pt idx="1">
                  <c:v>2270270.2702702698</c:v>
                </c:pt>
                <c:pt idx="2">
                  <c:v>3000000</c:v>
                </c:pt>
              </c:numCache>
            </c:numRef>
          </c:cat>
          <c:val>
            <c:numRef>
              <c:f>'Συμφ με ΣΜ ΙΙ'!$G$6:$G$8</c:f>
              <c:numCache>
                <c:formatCode>\€#,##0;[Red]\(\€#,##0\);\-</c:formatCode>
                <c:ptCount val="3"/>
                <c:pt idx="0">
                  <c:v>420000</c:v>
                </c:pt>
                <c:pt idx="1">
                  <c:v>1702702.7027027023</c:v>
                </c:pt>
                <c:pt idx="2">
                  <c:v>2115000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984-4CB9-A970-825FAF18BBE6}"/>
            </c:ext>
          </c:extLst>
        </c:ser>
        <c:ser>
          <c:idx val="2"/>
          <c:order val="2"/>
          <c:tx>
            <c:strRef>
              <c:f>'Συμφ με ΣΜ ΙΙ'!$H$5</c:f>
              <c:strCache>
                <c:ptCount val="1"/>
                <c:pt idx="0">
                  <c:v>BE point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'Συμφ με ΣΜ ΙΙ'!$E$6:$E$8</c:f>
              <c:numCache>
                <c:formatCode>#,##0;[Red]\(#,##0\);\-</c:formatCode>
                <c:ptCount val="3"/>
                <c:pt idx="0">
                  <c:v>0</c:v>
                </c:pt>
                <c:pt idx="1">
                  <c:v>2270270.2702702698</c:v>
                </c:pt>
                <c:pt idx="2">
                  <c:v>3000000</c:v>
                </c:pt>
              </c:numCache>
            </c:numRef>
          </c:cat>
          <c:val>
            <c:numRef>
              <c:f>'Συμφ με ΣΜ ΙΙ'!$H$6:$H$8</c:f>
              <c:numCache>
                <c:formatCode>\€#,##0;[Red]\(\€#,##0\);\-</c:formatCode>
                <c:ptCount val="3"/>
                <c:pt idx="0">
                  <c:v>#N/A</c:v>
                </c:pt>
                <c:pt idx="1">
                  <c:v>1702702.7027027023</c:v>
                </c:pt>
                <c:pt idx="2">
                  <c:v>#N/A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984-4CB9-A970-825FAF18B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1"/>
        <c:axPos val="b"/>
        <c:numFmt formatCode="#,##0;[Red]\(#,##0\);\-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numFmt formatCode="\€#,##0;[Red]\(\€#,##0\);\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Base - Break-even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Base!$F$5</c:f>
              <c:strCache>
                <c:ptCount val="1"/>
                <c:pt idx="0">
                  <c:v>Revenue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Base!$E$6:$E$8</c:f>
              <c:numCache>
                <c:formatCode>#,##0;[Red]\(#,##0\);\-</c:formatCode>
                <c:ptCount val="3"/>
                <c:pt idx="0">
                  <c:v>0</c:v>
                </c:pt>
                <c:pt idx="1">
                  <c:v>2100000</c:v>
                </c:pt>
                <c:pt idx="2">
                  <c:v>3000000</c:v>
                </c:pt>
              </c:numCache>
            </c:numRef>
          </c:cat>
          <c:val>
            <c:numRef>
              <c:f>Base!$F$6:$F$8</c:f>
              <c:numCache>
                <c:formatCode>\€#,##0;[Red]\(\€#,##0\);\-</c:formatCode>
                <c:ptCount val="3"/>
                <c:pt idx="0">
                  <c:v>0</c:v>
                </c:pt>
                <c:pt idx="1">
                  <c:v>1365000</c:v>
                </c:pt>
                <c:pt idx="2">
                  <c:v>1950000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D3F-4731-9C97-2508C570EC8E}"/>
            </c:ext>
          </c:extLst>
        </c:ser>
        <c:ser>
          <c:idx val="1"/>
          <c:order val="1"/>
          <c:tx>
            <c:strRef>
              <c:f>Base!$G$5</c:f>
              <c:strCache>
                <c:ptCount val="1"/>
                <c:pt idx="0">
                  <c:v>Total cost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Base!$E$6:$E$8</c:f>
              <c:numCache>
                <c:formatCode>#,##0;[Red]\(#,##0\);\-</c:formatCode>
                <c:ptCount val="3"/>
                <c:pt idx="0">
                  <c:v>0</c:v>
                </c:pt>
                <c:pt idx="1">
                  <c:v>2100000</c:v>
                </c:pt>
                <c:pt idx="2">
                  <c:v>3000000</c:v>
                </c:pt>
              </c:numCache>
            </c:numRef>
          </c:cat>
          <c:val>
            <c:numRef>
              <c:f>Base!$G$6:$G$8</c:f>
              <c:numCache>
                <c:formatCode>\€#,##0;[Red]\(\€#,##0\);\-</c:formatCode>
                <c:ptCount val="3"/>
                <c:pt idx="0">
                  <c:v>420000</c:v>
                </c:pt>
                <c:pt idx="1">
                  <c:v>1365000</c:v>
                </c:pt>
                <c:pt idx="2">
                  <c:v>1770000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D3F-4731-9C97-2508C570EC8E}"/>
            </c:ext>
          </c:extLst>
        </c:ser>
        <c:ser>
          <c:idx val="2"/>
          <c:order val="2"/>
          <c:tx>
            <c:strRef>
              <c:f>Base!$H$5</c:f>
              <c:strCache>
                <c:ptCount val="1"/>
                <c:pt idx="0">
                  <c:v>BE point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Base!$E$6:$E$8</c:f>
              <c:numCache>
                <c:formatCode>#,##0;[Red]\(#,##0\);\-</c:formatCode>
                <c:ptCount val="3"/>
                <c:pt idx="0">
                  <c:v>0</c:v>
                </c:pt>
                <c:pt idx="1">
                  <c:v>2100000</c:v>
                </c:pt>
                <c:pt idx="2">
                  <c:v>3000000</c:v>
                </c:pt>
              </c:numCache>
            </c:numRef>
          </c:cat>
          <c:val>
            <c:numRef>
              <c:f>Base!$H$6:$H$8</c:f>
              <c:numCache>
                <c:formatCode>\€#,##0;[Red]\(\€#,##0\);\-</c:formatCode>
                <c:ptCount val="3"/>
                <c:pt idx="0">
                  <c:v>#N/A</c:v>
                </c:pt>
                <c:pt idx="1">
                  <c:v>1365000</c:v>
                </c:pt>
                <c:pt idx="2">
                  <c:v>#N/A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D3F-4731-9C97-2508C570E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1"/>
        <c:axPos val="b"/>
        <c:numFmt formatCode="#,##0;[Red]\(#,##0\);\-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numFmt formatCode="\€#,##0;[Red]\(\€#,##0\);\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Shock A - Break-even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'Σεν.Α'' με αύξηση ενέργειας '!$F$5</c:f>
              <c:strCache>
                <c:ptCount val="1"/>
                <c:pt idx="0">
                  <c:v>Revenue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'Σεν.Α'' με αύξηση ενέργειας '!$E$6:$E$8</c:f>
              <c:numCache>
                <c:formatCode>#,##0;[Red]\(#,##0\);\-</c:formatCode>
                <c:ptCount val="3"/>
                <c:pt idx="0">
                  <c:v>0</c:v>
                </c:pt>
                <c:pt idx="1">
                  <c:v>1800000</c:v>
                </c:pt>
                <c:pt idx="2">
                  <c:v>3000000</c:v>
                </c:pt>
              </c:numCache>
            </c:numRef>
          </c:cat>
          <c:val>
            <c:numRef>
              <c:f>'Σεν.Α'' με αύξηση ενέργειας '!$F$6:$F$8</c:f>
              <c:numCache>
                <c:formatCode>\€#,##0;[Red]\(\€#,##0\);\-</c:formatCode>
                <c:ptCount val="3"/>
                <c:pt idx="0">
                  <c:v>0</c:v>
                </c:pt>
                <c:pt idx="1">
                  <c:v>1170000</c:v>
                </c:pt>
                <c:pt idx="2">
                  <c:v>1950000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CA3-4852-A286-AAFDBAC9652B}"/>
            </c:ext>
          </c:extLst>
        </c:ser>
        <c:ser>
          <c:idx val="1"/>
          <c:order val="1"/>
          <c:tx>
            <c:strRef>
              <c:f>'Σεν.Α'' με αύξηση ενέργειας '!$G$5</c:f>
              <c:strCache>
                <c:ptCount val="1"/>
                <c:pt idx="0">
                  <c:v>Total cost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'Σεν.Α'' με αύξηση ενέργειας '!$E$6:$E$8</c:f>
              <c:numCache>
                <c:formatCode>#,##0;[Red]\(#,##0\);\-</c:formatCode>
                <c:ptCount val="3"/>
                <c:pt idx="0">
                  <c:v>0</c:v>
                </c:pt>
                <c:pt idx="1">
                  <c:v>1800000</c:v>
                </c:pt>
                <c:pt idx="2">
                  <c:v>3000000</c:v>
                </c:pt>
              </c:numCache>
            </c:numRef>
          </c:cat>
          <c:val>
            <c:numRef>
              <c:f>'Σεν.Α'' με αύξηση ενέργειας '!$G$6:$G$8</c:f>
              <c:numCache>
                <c:formatCode>\€#,##0;[Red]\(\€#,##0\);\-</c:formatCode>
                <c:ptCount val="3"/>
                <c:pt idx="0">
                  <c:v>420000</c:v>
                </c:pt>
                <c:pt idx="1">
                  <c:v>1623750.0000000002</c:v>
                </c:pt>
                <c:pt idx="2">
                  <c:v>2426250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CA3-4852-A286-AAFDBAC9652B}"/>
            </c:ext>
          </c:extLst>
        </c:ser>
        <c:ser>
          <c:idx val="2"/>
          <c:order val="2"/>
          <c:tx>
            <c:strRef>
              <c:f>'Σεν.Α'' με αύξηση ενέργειας '!$H$5</c:f>
              <c:strCache>
                <c:ptCount val="1"/>
                <c:pt idx="0">
                  <c:v>BE point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'Σεν.Α'' με αύξηση ενέργειας '!$E$6:$E$8</c:f>
              <c:numCache>
                <c:formatCode>#,##0;[Red]\(#,##0\);\-</c:formatCode>
                <c:ptCount val="3"/>
                <c:pt idx="0">
                  <c:v>0</c:v>
                </c:pt>
                <c:pt idx="1">
                  <c:v>1800000</c:v>
                </c:pt>
                <c:pt idx="2">
                  <c:v>3000000</c:v>
                </c:pt>
              </c:numCache>
            </c:numRef>
          </c:cat>
          <c:val>
            <c:numRef>
              <c:f>'Σεν.Α'' με αύξηση ενέργειας '!$H$6:$H$8</c:f>
              <c:numCache>
                <c:formatCode>\€#,##0;[Red]\(\€#,##0\);\-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CA3-4852-A286-AAFDBAC96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1"/>
        <c:axPos val="b"/>
        <c:numFmt formatCode="#,##0;[Red]\(#,##0\);\-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numFmt formatCode="\€#,##0;[Red]\(\€#,##0\);\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Shock B - Break-even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'Σεν.Β'' με αύξηση όλων'!$F$5</c:f>
              <c:strCache>
                <c:ptCount val="1"/>
                <c:pt idx="0">
                  <c:v>Revenue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'Σεν.Β'' με αύξηση όλων'!$E$6:$E$8</c:f>
              <c:numCache>
                <c:formatCode>#,##0;[Red]\(#,##0\);\-</c:formatCode>
                <c:ptCount val="3"/>
                <c:pt idx="0">
                  <c:v>0</c:v>
                </c:pt>
                <c:pt idx="1">
                  <c:v>1800000</c:v>
                </c:pt>
                <c:pt idx="2">
                  <c:v>3000000</c:v>
                </c:pt>
              </c:numCache>
            </c:numRef>
          </c:cat>
          <c:val>
            <c:numRef>
              <c:f>'Σεν.Β'' με αύξηση όλων'!$F$6:$F$8</c:f>
              <c:numCache>
                <c:formatCode>\€#,##0;[Red]\(\€#,##0\);\-</c:formatCode>
                <c:ptCount val="3"/>
                <c:pt idx="0">
                  <c:v>0</c:v>
                </c:pt>
                <c:pt idx="1">
                  <c:v>1170000</c:v>
                </c:pt>
                <c:pt idx="2">
                  <c:v>1950000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EDD-472C-AECF-446DFB24DE55}"/>
            </c:ext>
          </c:extLst>
        </c:ser>
        <c:ser>
          <c:idx val="1"/>
          <c:order val="1"/>
          <c:tx>
            <c:strRef>
              <c:f>'Σεν.Β'' με αύξηση όλων'!$G$5</c:f>
              <c:strCache>
                <c:ptCount val="1"/>
                <c:pt idx="0">
                  <c:v>Total cost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'Σεν.Β'' με αύξηση όλων'!$E$6:$E$8</c:f>
              <c:numCache>
                <c:formatCode>#,##0;[Red]\(#,##0\);\-</c:formatCode>
                <c:ptCount val="3"/>
                <c:pt idx="0">
                  <c:v>0</c:v>
                </c:pt>
                <c:pt idx="1">
                  <c:v>1800000</c:v>
                </c:pt>
                <c:pt idx="2">
                  <c:v>3000000</c:v>
                </c:pt>
              </c:numCache>
            </c:numRef>
          </c:cat>
          <c:val>
            <c:numRef>
              <c:f>'Σεν.Β'' με αύξηση όλων'!$G$6:$G$8</c:f>
              <c:numCache>
                <c:formatCode>\€#,##0;[Red]\(\€#,##0\);\-</c:formatCode>
                <c:ptCount val="3"/>
                <c:pt idx="0">
                  <c:v>420000</c:v>
                </c:pt>
                <c:pt idx="1">
                  <c:v>1830750</c:v>
                </c:pt>
                <c:pt idx="2">
                  <c:v>2771250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EDD-472C-AECF-446DFB24DE55}"/>
            </c:ext>
          </c:extLst>
        </c:ser>
        <c:ser>
          <c:idx val="2"/>
          <c:order val="2"/>
          <c:tx>
            <c:strRef>
              <c:f>'Σεν.Β'' με αύξηση όλων'!$H$5</c:f>
              <c:strCache>
                <c:ptCount val="1"/>
                <c:pt idx="0">
                  <c:v>BE point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'Σεν.Β'' με αύξηση όλων'!$E$6:$E$8</c:f>
              <c:numCache>
                <c:formatCode>#,##0;[Red]\(#,##0\);\-</c:formatCode>
                <c:ptCount val="3"/>
                <c:pt idx="0">
                  <c:v>0</c:v>
                </c:pt>
                <c:pt idx="1">
                  <c:v>1800000</c:v>
                </c:pt>
                <c:pt idx="2">
                  <c:v>3000000</c:v>
                </c:pt>
              </c:numCache>
            </c:numRef>
          </c:cat>
          <c:val>
            <c:numRef>
              <c:f>'Σεν.Β'' με αύξηση όλων'!$H$6:$H$8</c:f>
              <c:numCache>
                <c:formatCode>\€#,##0;[Red]\(\€#,##0\);\-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EDD-472C-AECF-446DFB24D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1"/>
        <c:axPos val="b"/>
        <c:numFmt formatCode="#,##0;[Red]\(#,##0\);\-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numFmt formatCode="\€#,##0;[Red]\(\€#,##0\);\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Pass A - Break-even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'Τιμ. Πολ.Ι'!$F$5</c:f>
              <c:strCache>
                <c:ptCount val="1"/>
                <c:pt idx="0">
                  <c:v>Revenue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'Τιμ. Πολ.Ι'!$E$6:$E$8</c:f>
              <c:numCache>
                <c:formatCode>#,##0;[Red]\(#,##0\);\-</c:formatCode>
                <c:ptCount val="3"/>
                <c:pt idx="0">
                  <c:v>0</c:v>
                </c:pt>
                <c:pt idx="1">
                  <c:v>2099999.9999999991</c:v>
                </c:pt>
                <c:pt idx="2">
                  <c:v>3000000</c:v>
                </c:pt>
              </c:numCache>
            </c:numRef>
          </c:cat>
          <c:val>
            <c:numRef>
              <c:f>'Τιμ. Πολ.Ι'!$F$6:$F$8</c:f>
              <c:numCache>
                <c:formatCode>\€#,##0;[Red]\(\€#,##0\);\-</c:formatCode>
                <c:ptCount val="3"/>
                <c:pt idx="0">
                  <c:v>0</c:v>
                </c:pt>
                <c:pt idx="1">
                  <c:v>1824374.9999999995</c:v>
                </c:pt>
                <c:pt idx="2">
                  <c:v>2606250.0000000005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709-4253-BB13-0ACAD374E80B}"/>
            </c:ext>
          </c:extLst>
        </c:ser>
        <c:ser>
          <c:idx val="1"/>
          <c:order val="1"/>
          <c:tx>
            <c:strRef>
              <c:f>'Τιμ. Πολ.Ι'!$G$5</c:f>
              <c:strCache>
                <c:ptCount val="1"/>
                <c:pt idx="0">
                  <c:v>Total cost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'Τιμ. Πολ.Ι'!$E$6:$E$8</c:f>
              <c:numCache>
                <c:formatCode>#,##0;[Red]\(#,##0\);\-</c:formatCode>
                <c:ptCount val="3"/>
                <c:pt idx="0">
                  <c:v>0</c:v>
                </c:pt>
                <c:pt idx="1">
                  <c:v>2099999.9999999991</c:v>
                </c:pt>
                <c:pt idx="2">
                  <c:v>3000000</c:v>
                </c:pt>
              </c:numCache>
            </c:numRef>
          </c:cat>
          <c:val>
            <c:numRef>
              <c:f>'Τιμ. Πολ.Ι'!$G$6:$G$8</c:f>
              <c:numCache>
                <c:formatCode>\€#,##0;[Red]\(\€#,##0\);\-</c:formatCode>
                <c:ptCount val="3"/>
                <c:pt idx="0">
                  <c:v>420000</c:v>
                </c:pt>
                <c:pt idx="1">
                  <c:v>1824374.9999999995</c:v>
                </c:pt>
                <c:pt idx="2">
                  <c:v>2426250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709-4253-BB13-0ACAD374E80B}"/>
            </c:ext>
          </c:extLst>
        </c:ser>
        <c:ser>
          <c:idx val="2"/>
          <c:order val="2"/>
          <c:tx>
            <c:strRef>
              <c:f>'Τιμ. Πολ.Ι'!$H$5</c:f>
              <c:strCache>
                <c:ptCount val="1"/>
                <c:pt idx="0">
                  <c:v>BE point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'Τιμ. Πολ.Ι'!$E$6:$E$8</c:f>
              <c:numCache>
                <c:formatCode>#,##0;[Red]\(#,##0\);\-</c:formatCode>
                <c:ptCount val="3"/>
                <c:pt idx="0">
                  <c:v>0</c:v>
                </c:pt>
                <c:pt idx="1">
                  <c:v>2099999.9999999991</c:v>
                </c:pt>
                <c:pt idx="2">
                  <c:v>3000000</c:v>
                </c:pt>
              </c:numCache>
            </c:numRef>
          </c:cat>
          <c:val>
            <c:numRef>
              <c:f>'Τιμ. Πολ.Ι'!$H$6:$H$8</c:f>
              <c:numCache>
                <c:formatCode>\€#,##0;[Red]\(\€#,##0\);\-</c:formatCode>
                <c:ptCount val="3"/>
                <c:pt idx="0">
                  <c:v>#N/A</c:v>
                </c:pt>
                <c:pt idx="1">
                  <c:v>1824374.9999999995</c:v>
                </c:pt>
                <c:pt idx="2">
                  <c:v>#N/A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709-4253-BB13-0ACAD374E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1"/>
        <c:axPos val="b"/>
        <c:numFmt formatCode="#,##0;[Red]\(#,##0\);\-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numFmt formatCode="\€#,##0;[Red]\(\€#,##0\);\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Pass B - Break-even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Τιμ.Πολ.ΙΙ!$F$5</c:f>
              <c:strCache>
                <c:ptCount val="1"/>
                <c:pt idx="0">
                  <c:v>Revenue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Τιμ.Πολ.ΙΙ!$E$6:$E$8</c:f>
              <c:numCache>
                <c:formatCode>#,##0;[Red]\(#,##0\);\-</c:formatCode>
                <c:ptCount val="3"/>
                <c:pt idx="0">
                  <c:v>0</c:v>
                </c:pt>
                <c:pt idx="1">
                  <c:v>2100000.0000000005</c:v>
                </c:pt>
                <c:pt idx="2">
                  <c:v>3000000</c:v>
                </c:pt>
              </c:numCache>
            </c:numRef>
          </c:cat>
          <c:val>
            <c:numRef>
              <c:f>Τιμ.Πολ.ΙΙ!$F$6:$F$8</c:f>
              <c:numCache>
                <c:formatCode>\€#,##0;[Red]\(\€#,##0\);\-</c:formatCode>
                <c:ptCount val="3"/>
                <c:pt idx="0">
                  <c:v>0</c:v>
                </c:pt>
                <c:pt idx="1">
                  <c:v>2065875.0000000002</c:v>
                </c:pt>
                <c:pt idx="2">
                  <c:v>2951249.9999999995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7AB-4CD3-A251-E79E5591023E}"/>
            </c:ext>
          </c:extLst>
        </c:ser>
        <c:ser>
          <c:idx val="1"/>
          <c:order val="1"/>
          <c:tx>
            <c:strRef>
              <c:f>Τιμ.Πολ.ΙΙ!$G$5</c:f>
              <c:strCache>
                <c:ptCount val="1"/>
                <c:pt idx="0">
                  <c:v>Total cost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Τιμ.Πολ.ΙΙ!$E$6:$E$8</c:f>
              <c:numCache>
                <c:formatCode>#,##0;[Red]\(#,##0\);\-</c:formatCode>
                <c:ptCount val="3"/>
                <c:pt idx="0">
                  <c:v>0</c:v>
                </c:pt>
                <c:pt idx="1">
                  <c:v>2100000.0000000005</c:v>
                </c:pt>
                <c:pt idx="2">
                  <c:v>3000000</c:v>
                </c:pt>
              </c:numCache>
            </c:numRef>
          </c:cat>
          <c:val>
            <c:numRef>
              <c:f>Τιμ.Πολ.ΙΙ!$G$6:$G$8</c:f>
              <c:numCache>
                <c:formatCode>\€#,##0;[Red]\(\€#,##0\);\-</c:formatCode>
                <c:ptCount val="3"/>
                <c:pt idx="0">
                  <c:v>420000</c:v>
                </c:pt>
                <c:pt idx="1">
                  <c:v>2065875.0000000002</c:v>
                </c:pt>
                <c:pt idx="2">
                  <c:v>2771250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7AB-4CD3-A251-E79E5591023E}"/>
            </c:ext>
          </c:extLst>
        </c:ser>
        <c:ser>
          <c:idx val="2"/>
          <c:order val="2"/>
          <c:tx>
            <c:strRef>
              <c:f>Τιμ.Πολ.ΙΙ!$H$5</c:f>
              <c:strCache>
                <c:ptCount val="1"/>
                <c:pt idx="0">
                  <c:v>BE point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Τιμ.Πολ.ΙΙ!$E$6:$E$8</c:f>
              <c:numCache>
                <c:formatCode>#,##0;[Red]\(#,##0\);\-</c:formatCode>
                <c:ptCount val="3"/>
                <c:pt idx="0">
                  <c:v>0</c:v>
                </c:pt>
                <c:pt idx="1">
                  <c:v>2100000.0000000005</c:v>
                </c:pt>
                <c:pt idx="2">
                  <c:v>3000000</c:v>
                </c:pt>
              </c:numCache>
            </c:numRef>
          </c:cat>
          <c:val>
            <c:numRef>
              <c:f>Τιμ.Πολ.ΙΙ!$H$6:$H$8</c:f>
              <c:numCache>
                <c:formatCode>\€#,##0;[Red]\(\€#,##0\);\-</c:formatCode>
                <c:ptCount val="3"/>
                <c:pt idx="0">
                  <c:v>#N/A</c:v>
                </c:pt>
                <c:pt idx="1">
                  <c:v>2065875.0000000002</c:v>
                </c:pt>
                <c:pt idx="2">
                  <c:v>#N/A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7AB-4CD3-A251-E79E55910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1"/>
        <c:axPos val="b"/>
        <c:numFmt formatCode="#,##0;[Red]\(#,##0\);\-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numFmt formatCode="\€#,##0;[Red]\(\€#,##0\);\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Partial A - Break-even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Τιμ.Πολ.ΙΙΙ!$F$5</c:f>
              <c:strCache>
                <c:ptCount val="1"/>
                <c:pt idx="0">
                  <c:v>Revenue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Τιμ.Πολ.ΙΙΙ!$E$6:$E$8</c:f>
              <c:numCache>
                <c:formatCode>#,##0;[Red]\(#,##0\);\-</c:formatCode>
                <c:ptCount val="3"/>
                <c:pt idx="0">
                  <c:v>0</c:v>
                </c:pt>
                <c:pt idx="1">
                  <c:v>2400000.0000000009</c:v>
                </c:pt>
                <c:pt idx="2">
                  <c:v>3000000</c:v>
                </c:pt>
              </c:numCache>
            </c:numRef>
          </c:cat>
          <c:val>
            <c:numRef>
              <c:f>Τιμ.Πολ.ΙΙΙ!$F$6:$F$8</c:f>
              <c:numCache>
                <c:formatCode>\€#,##0;[Red]\(\€#,##0\);\-</c:formatCode>
                <c:ptCount val="3"/>
                <c:pt idx="0">
                  <c:v>0</c:v>
                </c:pt>
                <c:pt idx="1">
                  <c:v>2025000.0000000007</c:v>
                </c:pt>
                <c:pt idx="2">
                  <c:v>2531250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754-4ECD-90B2-13E160D8B7C3}"/>
            </c:ext>
          </c:extLst>
        </c:ser>
        <c:ser>
          <c:idx val="1"/>
          <c:order val="1"/>
          <c:tx>
            <c:strRef>
              <c:f>Τιμ.Πολ.ΙΙΙ!$G$5</c:f>
              <c:strCache>
                <c:ptCount val="1"/>
                <c:pt idx="0">
                  <c:v>Total cost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Τιμ.Πολ.ΙΙΙ!$E$6:$E$8</c:f>
              <c:numCache>
                <c:formatCode>#,##0;[Red]\(#,##0\);\-</c:formatCode>
                <c:ptCount val="3"/>
                <c:pt idx="0">
                  <c:v>0</c:v>
                </c:pt>
                <c:pt idx="1">
                  <c:v>2400000.0000000009</c:v>
                </c:pt>
                <c:pt idx="2">
                  <c:v>3000000</c:v>
                </c:pt>
              </c:numCache>
            </c:numRef>
          </c:cat>
          <c:val>
            <c:numRef>
              <c:f>Τιμ.Πολ.ΙΙΙ!$G$6:$G$8</c:f>
              <c:numCache>
                <c:formatCode>\€#,##0;[Red]\(\€#,##0\);\-</c:formatCode>
                <c:ptCount val="3"/>
                <c:pt idx="0">
                  <c:v>420000</c:v>
                </c:pt>
                <c:pt idx="1">
                  <c:v>2025000.0000000007</c:v>
                </c:pt>
                <c:pt idx="2">
                  <c:v>2426250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754-4ECD-90B2-13E160D8B7C3}"/>
            </c:ext>
          </c:extLst>
        </c:ser>
        <c:ser>
          <c:idx val="2"/>
          <c:order val="2"/>
          <c:tx>
            <c:strRef>
              <c:f>Τιμ.Πολ.ΙΙΙ!$H$5</c:f>
              <c:strCache>
                <c:ptCount val="1"/>
                <c:pt idx="0">
                  <c:v>BE point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Τιμ.Πολ.ΙΙΙ!$E$6:$E$8</c:f>
              <c:numCache>
                <c:formatCode>#,##0;[Red]\(#,##0\);\-</c:formatCode>
                <c:ptCount val="3"/>
                <c:pt idx="0">
                  <c:v>0</c:v>
                </c:pt>
                <c:pt idx="1">
                  <c:v>2400000.0000000009</c:v>
                </c:pt>
                <c:pt idx="2">
                  <c:v>3000000</c:v>
                </c:pt>
              </c:numCache>
            </c:numRef>
          </c:cat>
          <c:val>
            <c:numRef>
              <c:f>Τιμ.Πολ.ΙΙΙ!$H$6:$H$8</c:f>
              <c:numCache>
                <c:formatCode>\€#,##0;[Red]\(\€#,##0\);\-</c:formatCode>
                <c:ptCount val="3"/>
                <c:pt idx="0">
                  <c:v>#N/A</c:v>
                </c:pt>
                <c:pt idx="1">
                  <c:v>2025000.0000000007</c:v>
                </c:pt>
                <c:pt idx="2">
                  <c:v>#N/A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754-4ECD-90B2-13E160D8B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1"/>
        <c:axPos val="b"/>
        <c:numFmt formatCode="#,##0;[Red]\(#,##0\);\-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numFmt formatCode="\€#,##0;[Red]\(\€#,##0\);\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Partial B - Break-even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Τιμ.Πολ.ΙV!$F$5</c:f>
              <c:strCache>
                <c:ptCount val="1"/>
                <c:pt idx="0">
                  <c:v>Revenue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Τιμ.Πολ.ΙV!$E$6:$E$8</c:f>
              <c:numCache>
                <c:formatCode>#,##0;[Red]\(#,##0\);\-</c:formatCode>
                <c:ptCount val="3"/>
                <c:pt idx="0">
                  <c:v>0</c:v>
                </c:pt>
                <c:pt idx="1">
                  <c:v>2399999.9999999995</c:v>
                </c:pt>
                <c:pt idx="2">
                  <c:v>3000000</c:v>
                </c:pt>
              </c:numCache>
            </c:numRef>
          </c:cat>
          <c:val>
            <c:numRef>
              <c:f>Τιμ.Πολ.ΙV!$F$6:$F$8</c:f>
              <c:numCache>
                <c:formatCode>\€#,##0;[Red]\(\€#,##0\);\-</c:formatCode>
                <c:ptCount val="3"/>
                <c:pt idx="0">
                  <c:v>0</c:v>
                </c:pt>
                <c:pt idx="1">
                  <c:v>2300999.9999999995</c:v>
                </c:pt>
                <c:pt idx="2">
                  <c:v>2876250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DB4-4865-994A-0D041ABFB54B}"/>
            </c:ext>
          </c:extLst>
        </c:ser>
        <c:ser>
          <c:idx val="1"/>
          <c:order val="1"/>
          <c:tx>
            <c:strRef>
              <c:f>Τιμ.Πολ.ΙV!$G$5</c:f>
              <c:strCache>
                <c:ptCount val="1"/>
                <c:pt idx="0">
                  <c:v>Total cost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Τιμ.Πολ.ΙV!$E$6:$E$8</c:f>
              <c:numCache>
                <c:formatCode>#,##0;[Red]\(#,##0\);\-</c:formatCode>
                <c:ptCount val="3"/>
                <c:pt idx="0">
                  <c:v>0</c:v>
                </c:pt>
                <c:pt idx="1">
                  <c:v>2399999.9999999995</c:v>
                </c:pt>
                <c:pt idx="2">
                  <c:v>3000000</c:v>
                </c:pt>
              </c:numCache>
            </c:numRef>
          </c:cat>
          <c:val>
            <c:numRef>
              <c:f>Τιμ.Πολ.ΙV!$G$6:$G$8</c:f>
              <c:numCache>
                <c:formatCode>\€#,##0;[Red]\(\€#,##0\);\-</c:formatCode>
                <c:ptCount val="3"/>
                <c:pt idx="0">
                  <c:v>420000</c:v>
                </c:pt>
                <c:pt idx="1">
                  <c:v>2300999.9999999995</c:v>
                </c:pt>
                <c:pt idx="2">
                  <c:v>2771250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DB4-4865-994A-0D041ABFB54B}"/>
            </c:ext>
          </c:extLst>
        </c:ser>
        <c:ser>
          <c:idx val="2"/>
          <c:order val="2"/>
          <c:tx>
            <c:strRef>
              <c:f>Τιμ.Πολ.ΙV!$H$5</c:f>
              <c:strCache>
                <c:ptCount val="1"/>
                <c:pt idx="0">
                  <c:v>BE point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Τιμ.Πολ.ΙV!$E$6:$E$8</c:f>
              <c:numCache>
                <c:formatCode>#,##0;[Red]\(#,##0\);\-</c:formatCode>
                <c:ptCount val="3"/>
                <c:pt idx="0">
                  <c:v>0</c:v>
                </c:pt>
                <c:pt idx="1">
                  <c:v>2399999.9999999995</c:v>
                </c:pt>
                <c:pt idx="2">
                  <c:v>3000000</c:v>
                </c:pt>
              </c:numCache>
            </c:numRef>
          </c:cat>
          <c:val>
            <c:numRef>
              <c:f>Τιμ.Πολ.ΙV!$H$6:$H$8</c:f>
              <c:numCache>
                <c:formatCode>\€#,##0;[Red]\(\€#,##0\);\-</c:formatCode>
                <c:ptCount val="3"/>
                <c:pt idx="0">
                  <c:v>#N/A</c:v>
                </c:pt>
                <c:pt idx="1">
                  <c:v>2300999.9999999995</c:v>
                </c:pt>
                <c:pt idx="2">
                  <c:v>#N/A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DB4-4865-994A-0D041ABFB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1"/>
        <c:axPos val="b"/>
        <c:numFmt formatCode="#,##0;[Red]\(#,##0\);\-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numFmt formatCode="\€#,##0;[Red]\(\€#,##0\);\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Contract A - Break-even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'Συμφ με ΣΜ Ι'!$F$5</c:f>
              <c:strCache>
                <c:ptCount val="1"/>
                <c:pt idx="0">
                  <c:v>Revenue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'Συμφ με ΣΜ Ι'!$E$6:$E$8</c:f>
              <c:numCache>
                <c:formatCode>#,##0;[Red]\(#,##0\);\-</c:formatCode>
                <c:ptCount val="3"/>
                <c:pt idx="0">
                  <c:v>0</c:v>
                </c:pt>
                <c:pt idx="1">
                  <c:v>1400000</c:v>
                </c:pt>
                <c:pt idx="2">
                  <c:v>3000000</c:v>
                </c:pt>
              </c:numCache>
            </c:numRef>
          </c:cat>
          <c:val>
            <c:numRef>
              <c:f>'Συμφ με ΣΜ Ι'!$F$6:$F$8</c:f>
              <c:numCache>
                <c:formatCode>\€#,##0;[Red]\(\€#,##0\);\-</c:formatCode>
                <c:ptCount val="3"/>
                <c:pt idx="0">
                  <c:v>0</c:v>
                </c:pt>
                <c:pt idx="1">
                  <c:v>1050000</c:v>
                </c:pt>
                <c:pt idx="2">
                  <c:v>2250000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652-4500-A4D9-452B623355AE}"/>
            </c:ext>
          </c:extLst>
        </c:ser>
        <c:ser>
          <c:idx val="1"/>
          <c:order val="1"/>
          <c:tx>
            <c:strRef>
              <c:f>'Συμφ με ΣΜ Ι'!$G$5</c:f>
              <c:strCache>
                <c:ptCount val="1"/>
                <c:pt idx="0">
                  <c:v>Total cost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'Συμφ με ΣΜ Ι'!$E$6:$E$8</c:f>
              <c:numCache>
                <c:formatCode>#,##0;[Red]\(#,##0\);\-</c:formatCode>
                <c:ptCount val="3"/>
                <c:pt idx="0">
                  <c:v>0</c:v>
                </c:pt>
                <c:pt idx="1">
                  <c:v>1400000</c:v>
                </c:pt>
                <c:pt idx="2">
                  <c:v>3000000</c:v>
                </c:pt>
              </c:numCache>
            </c:numRef>
          </c:cat>
          <c:val>
            <c:numRef>
              <c:f>'Συμφ με ΣΜ Ι'!$G$6:$G$8</c:f>
              <c:numCache>
                <c:formatCode>\€#,##0;[Red]\(\€#,##0\);\-</c:formatCode>
                <c:ptCount val="3"/>
                <c:pt idx="0">
                  <c:v>420000</c:v>
                </c:pt>
                <c:pt idx="1">
                  <c:v>1050000</c:v>
                </c:pt>
                <c:pt idx="2">
                  <c:v>1770000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652-4500-A4D9-452B623355AE}"/>
            </c:ext>
          </c:extLst>
        </c:ser>
        <c:ser>
          <c:idx val="2"/>
          <c:order val="2"/>
          <c:tx>
            <c:strRef>
              <c:f>'Συμφ με ΣΜ Ι'!$H$5</c:f>
              <c:strCache>
                <c:ptCount val="1"/>
                <c:pt idx="0">
                  <c:v>BE point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'Συμφ με ΣΜ Ι'!$E$6:$E$8</c:f>
              <c:numCache>
                <c:formatCode>#,##0;[Red]\(#,##0\);\-</c:formatCode>
                <c:ptCount val="3"/>
                <c:pt idx="0">
                  <c:v>0</c:v>
                </c:pt>
                <c:pt idx="1">
                  <c:v>1400000</c:v>
                </c:pt>
                <c:pt idx="2">
                  <c:v>3000000</c:v>
                </c:pt>
              </c:numCache>
            </c:numRef>
          </c:cat>
          <c:val>
            <c:numRef>
              <c:f>'Συμφ με ΣΜ Ι'!$H$6:$H$8</c:f>
              <c:numCache>
                <c:formatCode>\€#,##0;[Red]\(\€#,##0\);\-</c:formatCode>
                <c:ptCount val="3"/>
                <c:pt idx="0">
                  <c:v>#N/A</c:v>
                </c:pt>
                <c:pt idx="1">
                  <c:v>1050000</c:v>
                </c:pt>
                <c:pt idx="2">
                  <c:v>#N/A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652-4500-A4D9-452B62335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1"/>
        <c:axPos val="b"/>
        <c:numFmt formatCode="#,##0;[Red]\(#,##0\);\-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numFmt formatCode="\€#,##0;[Red]\(\€#,##0\);\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15</xdr:row>
      <xdr:rowOff>0</xdr:rowOff>
    </xdr:from>
    <xdr:ext cx="432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9</xdr:row>
      <xdr:rowOff>0</xdr:rowOff>
    </xdr:from>
    <xdr:ext cx="396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9</xdr:row>
      <xdr:rowOff>0</xdr:rowOff>
    </xdr:from>
    <xdr:ext cx="396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9</xdr:row>
      <xdr:rowOff>0</xdr:rowOff>
    </xdr:from>
    <xdr:ext cx="396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9</xdr:row>
      <xdr:rowOff>0</xdr:rowOff>
    </xdr:from>
    <xdr:ext cx="396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9</xdr:row>
      <xdr:rowOff>0</xdr:rowOff>
    </xdr:from>
    <xdr:ext cx="396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9</xdr:row>
      <xdr:rowOff>0</xdr:rowOff>
    </xdr:from>
    <xdr:ext cx="396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9</xdr:row>
      <xdr:rowOff>0</xdr:rowOff>
    </xdr:from>
    <xdr:ext cx="396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9</xdr:row>
      <xdr:rowOff>0</xdr:rowOff>
    </xdr:from>
    <xdr:ext cx="396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9</xdr:row>
      <xdr:rowOff>0</xdr:rowOff>
    </xdr:from>
    <xdr:ext cx="396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 editAs="oneCell">
    <xdr:from>
      <xdr:col>14</xdr:col>
      <xdr:colOff>0</xdr:colOff>
      <xdr:row>45</xdr:row>
      <xdr:rowOff>0</xdr:rowOff>
    </xdr:from>
    <xdr:to>
      <xdr:col>22</xdr:col>
      <xdr:colOff>228600</xdr:colOff>
      <xdr:row>53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5E9DB34-3021-752B-7728-729D92EFB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49050" y="9372600"/>
          <a:ext cx="5105400" cy="169545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54</xdr:row>
      <xdr:rowOff>0</xdr:rowOff>
    </xdr:from>
    <xdr:to>
      <xdr:col>23</xdr:col>
      <xdr:colOff>533400</xdr:colOff>
      <xdr:row>67</xdr:row>
      <xdr:rowOff>85725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BFAE56C-BBB5-3F75-1861-553B2BE92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49050" y="11229975"/>
          <a:ext cx="6019800" cy="2676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workbookViewId="0">
      <selection activeCell="B17" sqref="B17"/>
    </sheetView>
  </sheetViews>
  <sheetFormatPr defaultRowHeight="15" x14ac:dyDescent="0.25"/>
  <cols>
    <col min="1" max="1" width="45" customWidth="1"/>
    <col min="2" max="2" width="16" customWidth="1"/>
    <col min="3" max="3" width="4" customWidth="1"/>
    <col min="4" max="4" width="30" customWidth="1"/>
    <col min="5" max="5" width="15" customWidth="1"/>
    <col min="6" max="7" width="14" customWidth="1"/>
    <col min="8" max="8" width="15" customWidth="1"/>
    <col min="9" max="10" width="12" customWidth="1"/>
    <col min="11" max="11" width="15" customWidth="1"/>
  </cols>
  <sheetData>
    <row r="1" spans="1:11" ht="15.75" x14ac:dyDescent="0.25">
      <c r="A1" s="29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1:11" ht="15.75" x14ac:dyDescent="0.25">
      <c r="A3" s="1" t="s">
        <v>1</v>
      </c>
      <c r="D3" s="1" t="s">
        <v>2</v>
      </c>
    </row>
    <row r="4" spans="1:11" ht="15.75" x14ac:dyDescent="0.25">
      <c r="A4" s="2" t="s">
        <v>3</v>
      </c>
      <c r="B4" s="3">
        <v>0.65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</row>
    <row r="5" spans="1:11" ht="15.75" x14ac:dyDescent="0.25">
      <c r="A5" s="2" t="s">
        <v>12</v>
      </c>
      <c r="B5" s="5">
        <v>420000</v>
      </c>
      <c r="D5" s="6" t="s">
        <v>13</v>
      </c>
      <c r="E5" s="7">
        <f>Base!B5</f>
        <v>0.65</v>
      </c>
      <c r="F5" s="8">
        <f>Base!B14</f>
        <v>0.45</v>
      </c>
      <c r="G5" s="8">
        <f>Base!B15</f>
        <v>0.2</v>
      </c>
      <c r="H5" s="9">
        <f>Base!B16</f>
        <v>2100000</v>
      </c>
      <c r="I5" s="10">
        <f>Base!B17</f>
        <v>0.7</v>
      </c>
      <c r="J5" s="9">
        <f>Base!B8</f>
        <v>1800000</v>
      </c>
      <c r="K5" s="11">
        <f>Base!B21</f>
        <v>-60000</v>
      </c>
    </row>
    <row r="6" spans="1:11" ht="15.75" x14ac:dyDescent="0.25">
      <c r="A6" s="2" t="s">
        <v>14</v>
      </c>
      <c r="B6" s="12">
        <v>3000000</v>
      </c>
      <c r="D6" s="6" t="s">
        <v>15</v>
      </c>
      <c r="E6" s="7">
        <f>'Σεν.Α'' με αύξηση ενέργειας '!B5</f>
        <v>0.65</v>
      </c>
      <c r="F6" s="8">
        <f>'Σεν.Α'' με αύξηση ενέργειας '!B14</f>
        <v>0.66875000000000007</v>
      </c>
      <c r="G6" s="8">
        <f>'Σεν.Α'' με αύξηση ενέργειας '!B15</f>
        <v>-1.8750000000000044E-2</v>
      </c>
      <c r="H6" s="9" t="e">
        <f>'Σεν.Α'' με αύξηση ενέργειας '!B16</f>
        <v>#N/A</v>
      </c>
      <c r="I6" s="10" t="e">
        <f>'Σεν.Α'' με αύξηση ενέργειας '!B17</f>
        <v>#N/A</v>
      </c>
      <c r="J6" s="9">
        <f>'Σεν.Α'' με αύξηση ενέργειας '!B8</f>
        <v>1800000</v>
      </c>
      <c r="K6" s="11">
        <f>'Σεν.Α'' με αύξηση ενέργειας '!B21</f>
        <v>-453750.00000000023</v>
      </c>
    </row>
    <row r="7" spans="1:11" ht="15.75" x14ac:dyDescent="0.25">
      <c r="A7" s="2" t="s">
        <v>16</v>
      </c>
      <c r="B7" s="13">
        <v>0.6</v>
      </c>
      <c r="D7" s="6" t="s">
        <v>17</v>
      </c>
      <c r="E7" s="7">
        <f>'Σεν.Β'' με αύξηση όλων'!B5</f>
        <v>0.65</v>
      </c>
      <c r="F7" s="8">
        <f>'Σεν.Β'' με αύξηση όλων'!B14</f>
        <v>0.78374999999999995</v>
      </c>
      <c r="G7" s="8">
        <f>'Σεν.Β'' με αύξηση όλων'!B15</f>
        <v>-0.13374999999999992</v>
      </c>
      <c r="H7" s="9" t="e">
        <f>'Σεν.Β'' με αύξηση όλων'!B16</f>
        <v>#N/A</v>
      </c>
      <c r="I7" s="10" t="e">
        <f>'Σεν.Β'' με αύξηση όλων'!B17</f>
        <v>#N/A</v>
      </c>
      <c r="J7" s="9">
        <f>'Σεν.Β'' με αύξηση όλων'!B8</f>
        <v>1800000</v>
      </c>
      <c r="K7" s="11">
        <f>'Σεν.Β'' με αύξηση όλων'!B21</f>
        <v>-660750</v>
      </c>
    </row>
    <row r="8" spans="1:11" ht="15.75" x14ac:dyDescent="0.25">
      <c r="A8" s="2" t="s">
        <v>18</v>
      </c>
      <c r="B8" s="14">
        <f>B6*B7</f>
        <v>1800000</v>
      </c>
      <c r="D8" s="6" t="s">
        <v>19</v>
      </c>
      <c r="E8" s="7">
        <f>'Τιμ. Πολ.Ι'!B5</f>
        <v>0.86875000000000013</v>
      </c>
      <c r="F8" s="8">
        <f>'Τιμ. Πολ.Ι'!B14</f>
        <v>0.66875000000000007</v>
      </c>
      <c r="G8" s="8">
        <f>'Τιμ. Πολ.Ι'!B15</f>
        <v>0.20000000000000007</v>
      </c>
      <c r="H8" s="9">
        <f>'Τιμ. Πολ.Ι'!B16</f>
        <v>2099999.9999999991</v>
      </c>
      <c r="I8" s="10">
        <f>'Τιμ. Πολ.Ι'!B17</f>
        <v>0.69999999999999973</v>
      </c>
      <c r="J8" s="9">
        <f>'Τιμ. Πολ.Ι'!B8</f>
        <v>1800000</v>
      </c>
      <c r="K8" s="11">
        <f>'Τιμ. Πολ.Ι'!B21</f>
        <v>-60000</v>
      </c>
    </row>
    <row r="9" spans="1:11" ht="15.75" x14ac:dyDescent="0.25">
      <c r="A9" s="2" t="s">
        <v>20</v>
      </c>
      <c r="B9" s="15">
        <v>64</v>
      </c>
      <c r="D9" s="6" t="s">
        <v>21</v>
      </c>
      <c r="E9" s="7">
        <f>Τιμ.Πολ.ΙΙ!B5</f>
        <v>0.9837499999999999</v>
      </c>
      <c r="F9" s="8">
        <f>Τιμ.Πολ.ΙΙ!B14</f>
        <v>0.78374999999999995</v>
      </c>
      <c r="G9" s="8">
        <f>Τιμ.Πολ.ΙΙ!B15</f>
        <v>0.19999999999999996</v>
      </c>
      <c r="H9" s="9">
        <f>Τιμ.Πολ.ΙΙ!B16</f>
        <v>2100000.0000000005</v>
      </c>
      <c r="I9" s="10">
        <f>Τιμ.Πολ.ΙΙ!B17</f>
        <v>0.70000000000000018</v>
      </c>
      <c r="J9" s="9">
        <f>Τιμ.Πολ.ΙΙ!B8</f>
        <v>1800000</v>
      </c>
      <c r="K9" s="11">
        <f>Τιμ.Πολ.ΙΙ!B21</f>
        <v>-60000.000000000233</v>
      </c>
    </row>
    <row r="10" spans="1:11" ht="15.75" x14ac:dyDescent="0.25">
      <c r="A10" s="2" t="s">
        <v>22</v>
      </c>
      <c r="B10" s="15">
        <v>120</v>
      </c>
      <c r="D10" s="6" t="s">
        <v>23</v>
      </c>
      <c r="E10" s="7">
        <f>Τιμ.Πολ.ΙΙΙ!B5</f>
        <v>0.84375</v>
      </c>
      <c r="F10" s="8">
        <f>Τιμ.Πολ.ΙΙΙ!B14</f>
        <v>0.66875000000000007</v>
      </c>
      <c r="G10" s="8">
        <f>Τιμ.Πολ.ΙΙΙ!B15</f>
        <v>0.17499999999999993</v>
      </c>
      <c r="H10" s="9">
        <f>Τιμ.Πολ.ΙΙΙ!B16</f>
        <v>2400000.0000000009</v>
      </c>
      <c r="I10" s="10">
        <f>Τιμ.Πολ.ΙΙΙ!B17</f>
        <v>0.80000000000000027</v>
      </c>
      <c r="J10" s="9">
        <f>Τιμ.Πολ.ΙΙΙ!B8</f>
        <v>2400000</v>
      </c>
      <c r="K10" s="11">
        <f>Τιμ.Πολ.ΙΙΙ!B21</f>
        <v>0</v>
      </c>
    </row>
    <row r="11" spans="1:11" ht="15.75" x14ac:dyDescent="0.25">
      <c r="A11" s="2" t="s">
        <v>24</v>
      </c>
      <c r="B11" s="16">
        <f>B10/B9</f>
        <v>1.875</v>
      </c>
      <c r="D11" s="6" t="s">
        <v>25</v>
      </c>
      <c r="E11" s="7">
        <f>Τιμ.Πολ.ΙV!B5</f>
        <v>0.95874999999999999</v>
      </c>
      <c r="F11" s="8">
        <f>Τιμ.Πολ.ΙV!B14</f>
        <v>0.78374999999999995</v>
      </c>
      <c r="G11" s="8">
        <f>Τιμ.Πολ.ΙV!B15</f>
        <v>0.17500000000000004</v>
      </c>
      <c r="H11" s="9">
        <f>Τιμ.Πολ.ΙV!B16</f>
        <v>2399999.9999999995</v>
      </c>
      <c r="I11" s="10">
        <f>Τιμ.Πολ.ΙV!B17</f>
        <v>0.79999999999999982</v>
      </c>
      <c r="J11" s="9">
        <f>Τιμ.Πολ.ΙV!B8</f>
        <v>2400000</v>
      </c>
      <c r="K11" s="11">
        <f>Τιμ.Πολ.ΙV!B21</f>
        <v>0</v>
      </c>
    </row>
    <row r="12" spans="1:11" ht="15.75" x14ac:dyDescent="0.25">
      <c r="A12" s="2" t="s">
        <v>26</v>
      </c>
      <c r="B12" s="17">
        <v>0.15</v>
      </c>
      <c r="D12" s="6" t="s">
        <v>27</v>
      </c>
      <c r="E12" s="7">
        <f>'Συμφ με ΣΜ Ι'!B5</f>
        <v>0.75</v>
      </c>
      <c r="F12" s="8">
        <f>'Συμφ με ΣΜ Ι'!B14</f>
        <v>0.45</v>
      </c>
      <c r="G12" s="8">
        <f>'Συμφ με ΣΜ Ι'!B15</f>
        <v>0.3</v>
      </c>
      <c r="H12" s="9">
        <f>'Συμφ με ΣΜ Ι'!B16</f>
        <v>1400000</v>
      </c>
      <c r="I12" s="10">
        <f>'Συμφ με ΣΜ Ι'!B17</f>
        <v>0.46666666666666667</v>
      </c>
      <c r="J12" s="9">
        <f>'Συμφ με ΣΜ Ι'!B8</f>
        <v>3000000</v>
      </c>
      <c r="K12" s="11">
        <f>'Συμφ με ΣΜ Ι'!B21</f>
        <v>480000</v>
      </c>
    </row>
    <row r="13" spans="1:11" ht="15.75" x14ac:dyDescent="0.25">
      <c r="A13" s="2" t="s">
        <v>28</v>
      </c>
      <c r="B13" s="17">
        <v>0.1</v>
      </c>
      <c r="D13" s="6" t="s">
        <v>29</v>
      </c>
      <c r="E13" s="7">
        <f>'Συμφ με ΣΜ ΙΙ'!B5</f>
        <v>0.75</v>
      </c>
      <c r="F13" s="8">
        <f>'Συμφ με ΣΜ ΙΙ'!B14</f>
        <v>0.56499999999999995</v>
      </c>
      <c r="G13" s="8">
        <f>'Συμφ με ΣΜ ΙΙ'!B15</f>
        <v>0.18500000000000005</v>
      </c>
      <c r="H13" s="9">
        <f>'Συμφ με ΣΜ ΙΙ'!B16</f>
        <v>2270270.2702702698</v>
      </c>
      <c r="I13" s="10">
        <f>'Συμφ με ΣΜ ΙΙ'!B17</f>
        <v>0.75675675675675658</v>
      </c>
      <c r="J13" s="9">
        <f>'Συμφ με ΣΜ ΙΙ'!B8</f>
        <v>3000000</v>
      </c>
      <c r="K13" s="11">
        <f>'Συμφ με ΣΜ ΙΙ'!B21</f>
        <v>135000</v>
      </c>
    </row>
    <row r="14" spans="1:11" x14ac:dyDescent="0.25">
      <c r="A14" s="2" t="s">
        <v>30</v>
      </c>
      <c r="B14" s="17">
        <v>0.15</v>
      </c>
    </row>
    <row r="15" spans="1:11" x14ac:dyDescent="0.25">
      <c r="A15" s="2" t="s">
        <v>31</v>
      </c>
      <c r="B15" s="17">
        <v>0.05</v>
      </c>
    </row>
    <row r="16" spans="1:11" x14ac:dyDescent="0.25">
      <c r="A16" s="2" t="s">
        <v>32</v>
      </c>
      <c r="B16" s="18">
        <f>SUM(B12:B15)</f>
        <v>0.45</v>
      </c>
    </row>
    <row r="17" spans="1:2" x14ac:dyDescent="0.25">
      <c r="A17" s="2" t="s">
        <v>33</v>
      </c>
      <c r="B17" s="18">
        <f>B4-B16</f>
        <v>0.2</v>
      </c>
    </row>
    <row r="18" spans="1:2" x14ac:dyDescent="0.25">
      <c r="A18" s="2" t="s">
        <v>34</v>
      </c>
      <c r="B18" s="14">
        <f>IF(B17&lt;=0,NA(),B5/B17)</f>
        <v>2100000</v>
      </c>
    </row>
    <row r="19" spans="1:2" x14ac:dyDescent="0.25">
      <c r="A19" s="2" t="s">
        <v>35</v>
      </c>
      <c r="B19" s="19">
        <f>IFERROR(B18/B6,NA())</f>
        <v>0.7</v>
      </c>
    </row>
    <row r="20" spans="1:2" x14ac:dyDescent="0.25">
      <c r="A20" s="2" t="s">
        <v>36</v>
      </c>
      <c r="B20" s="13">
        <v>0.2</v>
      </c>
    </row>
    <row r="21" spans="1:2" x14ac:dyDescent="0.25">
      <c r="A21" s="2" t="s">
        <v>37</v>
      </c>
      <c r="B21" s="13">
        <v>0.2</v>
      </c>
    </row>
    <row r="22" spans="1:2" x14ac:dyDescent="0.25">
      <c r="A22" s="2" t="s">
        <v>38</v>
      </c>
      <c r="B22" s="12">
        <v>2400000</v>
      </c>
    </row>
    <row r="23" spans="1:2" x14ac:dyDescent="0.25">
      <c r="A23" s="2" t="s">
        <v>39</v>
      </c>
      <c r="B23" s="3">
        <v>0.75</v>
      </c>
    </row>
    <row r="24" spans="1:2" x14ac:dyDescent="0.25">
      <c r="A24" s="2" t="s">
        <v>40</v>
      </c>
      <c r="B24" s="20">
        <v>1</v>
      </c>
    </row>
    <row r="25" spans="1:2" x14ac:dyDescent="0.25">
      <c r="A25" s="2" t="s">
        <v>41</v>
      </c>
      <c r="B25" s="20">
        <v>1</v>
      </c>
    </row>
    <row r="27" spans="1:2" x14ac:dyDescent="0.25">
      <c r="A27" s="27" t="s">
        <v>42</v>
      </c>
      <c r="B27" s="28"/>
    </row>
  </sheetData>
  <mergeCells count="2">
    <mergeCell ref="A27:B27"/>
    <mergeCell ref="A1:K1"/>
  </mergeCells>
  <hyperlinks>
    <hyperlink ref="D5" location="Base!A1" display="Base" xr:uid="{00000000-0004-0000-0000-000000000000}"/>
    <hyperlink ref="D6" location="Shock_A!A1" display="Shock A: price unchanged" xr:uid="{00000000-0004-0000-0000-000001000000}"/>
    <hyperlink ref="D7" location="Shock_B!A1" display="Shock B: price unchanged" xr:uid="{00000000-0004-0000-0000-000002000000}"/>
    <hyperlink ref="D8" location="Pass_A!A1" display="2.1 Full pass-through A" xr:uid="{00000000-0004-0000-0000-000003000000}"/>
    <hyperlink ref="D9" location="Pass_B!A1" display="2.1 Full pass-through B" xr:uid="{00000000-0004-0000-0000-000004000000}"/>
    <hyperlink ref="D10" location="Partial_A!A1" display="2.2 Partial absorb A" xr:uid="{00000000-0004-0000-0000-000005000000}"/>
    <hyperlink ref="D11" location="Partial_B!A1" display="2.2 Partial absorb B" xr:uid="{00000000-0004-0000-0000-000006000000}"/>
    <hyperlink ref="D12" location="Contract_A!A1" display="2.3 Contract + hedge A" xr:uid="{00000000-0004-0000-0000-000007000000}"/>
    <hyperlink ref="D13" location="Contract_B!A1" display="2.3 Contract + hedge B" xr:uid="{00000000-0004-0000-0000-000008000000}"/>
  </hyperlinks>
  <pageMargins left="0.75" right="0.75" top="1" bottom="1" header="0.5" footer="0.5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1"/>
  <sheetViews>
    <sheetView workbookViewId="0">
      <selection activeCell="B20" sqref="B20"/>
    </sheetView>
  </sheetViews>
  <sheetFormatPr defaultRowHeight="15" x14ac:dyDescent="0.25"/>
  <cols>
    <col min="1" max="1" width="34" customWidth="1"/>
    <col min="2" max="2" width="16" customWidth="1"/>
    <col min="3" max="4" width="3" customWidth="1"/>
    <col min="5" max="9" width="14" customWidth="1"/>
  </cols>
  <sheetData>
    <row r="1" spans="1:9" ht="15.75" x14ac:dyDescent="0.25">
      <c r="A1" s="29" t="s">
        <v>79</v>
      </c>
      <c r="B1" s="28"/>
      <c r="C1" s="28"/>
      <c r="D1" s="28"/>
      <c r="E1" s="28"/>
      <c r="F1" s="28"/>
      <c r="G1" s="28"/>
      <c r="H1" s="28"/>
      <c r="I1" s="28"/>
    </row>
    <row r="2" spans="1:9" ht="15.75" x14ac:dyDescent="0.25">
      <c r="A2" s="21" t="s">
        <v>80</v>
      </c>
      <c r="I2" s="6" t="s">
        <v>44</v>
      </c>
    </row>
    <row r="4" spans="1:9" ht="15.75" x14ac:dyDescent="0.25">
      <c r="A4" s="1" t="s">
        <v>45</v>
      </c>
      <c r="E4" s="1" t="s">
        <v>46</v>
      </c>
    </row>
    <row r="5" spans="1:9" ht="15.75" x14ac:dyDescent="0.25">
      <c r="A5" s="2" t="s">
        <v>3</v>
      </c>
      <c r="B5" s="8">
        <f>'Inputs &amp; Summary'!B23</f>
        <v>0.75</v>
      </c>
      <c r="E5" s="22" t="s">
        <v>47</v>
      </c>
      <c r="F5" s="22" t="s">
        <v>48</v>
      </c>
      <c r="G5" s="22" t="s">
        <v>49</v>
      </c>
      <c r="H5" s="22" t="s">
        <v>50</v>
      </c>
    </row>
    <row r="6" spans="1:9" x14ac:dyDescent="0.25">
      <c r="A6" s="2" t="s">
        <v>12</v>
      </c>
      <c r="B6" s="11">
        <f>'Inputs &amp; Summary'!B5</f>
        <v>420000</v>
      </c>
      <c r="E6" s="23">
        <v>0</v>
      </c>
      <c r="F6" s="24">
        <f>B5*E6</f>
        <v>0</v>
      </c>
      <c r="G6" s="24">
        <f>B6+B14*E6</f>
        <v>420000</v>
      </c>
      <c r="H6" s="24" t="e">
        <f>NA()</f>
        <v>#N/A</v>
      </c>
    </row>
    <row r="7" spans="1:9" x14ac:dyDescent="0.25">
      <c r="A7" s="2" t="s">
        <v>51</v>
      </c>
      <c r="B7" s="9">
        <f>'Inputs &amp; Summary'!B6</f>
        <v>3000000</v>
      </c>
      <c r="E7" s="23">
        <f>IF(ISNA(B16),B8,B16)</f>
        <v>2270270.2702702698</v>
      </c>
      <c r="F7" s="24">
        <f>B5*E7</f>
        <v>1702702.7027027025</v>
      </c>
      <c r="G7" s="24">
        <f>B6+B14*E7</f>
        <v>1702702.7027027023</v>
      </c>
      <c r="H7" s="24">
        <f>IF(ISNA(B16),NA(),B6+B14*B16)</f>
        <v>1702702.7027027023</v>
      </c>
    </row>
    <row r="8" spans="1:9" x14ac:dyDescent="0.25">
      <c r="A8" s="2" t="s">
        <v>52</v>
      </c>
      <c r="B8" s="9">
        <f>'Inputs &amp; Summary'!B6</f>
        <v>3000000</v>
      </c>
      <c r="E8" s="23">
        <f>B7</f>
        <v>3000000</v>
      </c>
      <c r="F8" s="24">
        <f>B5*E8</f>
        <v>2250000</v>
      </c>
      <c r="G8" s="24">
        <f>B6+B14*E8</f>
        <v>2115000</v>
      </c>
      <c r="H8" s="24" t="e">
        <f>NA()</f>
        <v>#N/A</v>
      </c>
    </row>
    <row r="9" spans="1:9" x14ac:dyDescent="0.25">
      <c r="A9" s="2" t="s">
        <v>53</v>
      </c>
      <c r="B9" s="25">
        <f>IF(AND('Inputs &amp; Summary'!B24=1,'Inputs &amp; Summary'!B25=1),1,'Inputs &amp; Summary'!B11)</f>
        <v>1</v>
      </c>
    </row>
    <row r="10" spans="1:9" x14ac:dyDescent="0.25">
      <c r="A10" s="2" t="s">
        <v>54</v>
      </c>
      <c r="B10" s="8">
        <f>'Inputs &amp; Summary'!B12*IF('Inputs &amp; Summary'!B24=1,1,'Inputs &amp; Summary'!B11)</f>
        <v>0.15</v>
      </c>
    </row>
    <row r="11" spans="1:9" x14ac:dyDescent="0.25">
      <c r="A11" s="2" t="s">
        <v>55</v>
      </c>
      <c r="B11" s="8">
        <f>'Inputs &amp; Summary'!B13*IF('Inputs &amp; Summary'!B25=1,1,'Inputs &amp; Summary'!B11)</f>
        <v>0.1</v>
      </c>
    </row>
    <row r="12" spans="1:9" x14ac:dyDescent="0.25">
      <c r="A12" s="2" t="s">
        <v>56</v>
      </c>
      <c r="B12" s="8">
        <f>'Inputs &amp; Summary'!B14*(1+'Inputs &amp; Summary'!B19)</f>
        <v>0.255</v>
      </c>
    </row>
    <row r="13" spans="1:9" x14ac:dyDescent="0.25">
      <c r="A13" s="2" t="s">
        <v>57</v>
      </c>
      <c r="B13" s="8">
        <f>'Inputs &amp; Summary'!B15*(1+'Inputs &amp; Summary'!B20)</f>
        <v>0.06</v>
      </c>
    </row>
    <row r="14" spans="1:9" x14ac:dyDescent="0.25">
      <c r="A14" s="2" t="s">
        <v>58</v>
      </c>
      <c r="B14" s="8">
        <f>SUM(B10:B13)</f>
        <v>0.56499999999999995</v>
      </c>
    </row>
    <row r="15" spans="1:9" x14ac:dyDescent="0.25">
      <c r="A15" s="2" t="s">
        <v>59</v>
      </c>
      <c r="B15" s="8">
        <f>B5-B14</f>
        <v>0.18500000000000005</v>
      </c>
    </row>
    <row r="16" spans="1:9" x14ac:dyDescent="0.25">
      <c r="A16" s="2" t="s">
        <v>60</v>
      </c>
      <c r="B16" s="9">
        <f>IF(B15&lt;=0,NA(),B6/B15)</f>
        <v>2270270.2702702698</v>
      </c>
    </row>
    <row r="17" spans="1:2" x14ac:dyDescent="0.25">
      <c r="A17" s="2" t="s">
        <v>61</v>
      </c>
      <c r="B17" s="10">
        <f>IFERROR(B16/B7,NA())</f>
        <v>0.75675675675675658</v>
      </c>
    </row>
    <row r="18" spans="1:2" x14ac:dyDescent="0.25">
      <c r="A18" s="2" t="s">
        <v>62</v>
      </c>
      <c r="B18" s="11">
        <f>B5*B8</f>
        <v>2250000</v>
      </c>
    </row>
    <row r="19" spans="1:2" x14ac:dyDescent="0.25">
      <c r="A19" s="2" t="s">
        <v>63</v>
      </c>
      <c r="B19" s="11">
        <f>B14*B8</f>
        <v>1694999.9999999998</v>
      </c>
    </row>
    <row r="20" spans="1:2" x14ac:dyDescent="0.25">
      <c r="A20" s="2" t="s">
        <v>64</v>
      </c>
      <c r="B20" s="11">
        <f>B6+B19</f>
        <v>2115000</v>
      </c>
    </row>
    <row r="21" spans="1:2" x14ac:dyDescent="0.25">
      <c r="A21" s="2" t="s">
        <v>65</v>
      </c>
      <c r="B21" s="11">
        <f>B18-B20</f>
        <v>135000</v>
      </c>
    </row>
  </sheetData>
  <mergeCells count="1">
    <mergeCell ref="A1:I1"/>
  </mergeCells>
  <hyperlinks>
    <hyperlink ref="I2" location="'Inputs &amp; Summary'!A1" display="Back to summary" xr:uid="{00000000-0004-0000-0900-000000000000}"/>
  </hyperlinks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6"/>
  <sheetViews>
    <sheetView workbookViewId="0">
      <selection activeCell="A6" sqref="A6"/>
    </sheetView>
  </sheetViews>
  <sheetFormatPr defaultRowHeight="15" x14ac:dyDescent="0.25"/>
  <cols>
    <col min="1" max="1" width="30" customWidth="1"/>
    <col min="2" max="2" width="100" customWidth="1"/>
  </cols>
  <sheetData>
    <row r="1" spans="1:2" ht="15.75" x14ac:dyDescent="0.25">
      <c r="A1" s="26" t="s">
        <v>81</v>
      </c>
    </row>
    <row r="3" spans="1:2" ht="15.75" x14ac:dyDescent="0.25">
      <c r="A3" s="26" t="s">
        <v>82</v>
      </c>
      <c r="B3" s="26" t="s">
        <v>83</v>
      </c>
    </row>
    <row r="4" spans="1:2" x14ac:dyDescent="0.25">
      <c r="A4" t="s">
        <v>138</v>
      </c>
      <c r="B4" t="s">
        <v>84</v>
      </c>
    </row>
    <row r="5" spans="1:2" x14ac:dyDescent="0.25">
      <c r="A5" t="s">
        <v>85</v>
      </c>
      <c r="B5" t="s">
        <v>86</v>
      </c>
    </row>
    <row r="6" spans="1:2" x14ac:dyDescent="0.25">
      <c r="A6" t="s">
        <v>87</v>
      </c>
      <c r="B6" t="s">
        <v>88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7"/>
  <sheetViews>
    <sheetView workbookViewId="0">
      <selection activeCell="P37" sqref="P37"/>
    </sheetView>
  </sheetViews>
  <sheetFormatPr defaultRowHeight="15" x14ac:dyDescent="0.25"/>
  <cols>
    <col min="1" max="1" width="34" customWidth="1"/>
    <col min="2" max="2" width="16" customWidth="1"/>
    <col min="3" max="4" width="3" customWidth="1"/>
    <col min="5" max="9" width="14" customWidth="1"/>
  </cols>
  <sheetData>
    <row r="1" spans="1:14" ht="15.75" x14ac:dyDescent="0.25">
      <c r="A1" s="29" t="s">
        <v>13</v>
      </c>
      <c r="B1" s="28"/>
      <c r="C1" s="28"/>
      <c r="D1" s="28"/>
      <c r="E1" s="28"/>
      <c r="F1" s="28"/>
      <c r="G1" s="28"/>
      <c r="H1" s="28"/>
      <c r="I1" s="28"/>
    </row>
    <row r="2" spans="1:14" ht="15.75" x14ac:dyDescent="0.25">
      <c r="A2" s="21" t="s">
        <v>43</v>
      </c>
      <c r="I2" s="6" t="s">
        <v>44</v>
      </c>
    </row>
    <row r="4" spans="1:14" ht="15.75" x14ac:dyDescent="0.25">
      <c r="A4" s="1" t="s">
        <v>45</v>
      </c>
      <c r="E4" s="1" t="s">
        <v>46</v>
      </c>
    </row>
    <row r="5" spans="1:14" ht="15.75" x14ac:dyDescent="0.25">
      <c r="A5" s="2" t="s">
        <v>3</v>
      </c>
      <c r="B5" s="8">
        <f>'Inputs &amp; Summary'!B4</f>
        <v>0.65</v>
      </c>
      <c r="E5" s="22" t="s">
        <v>47</v>
      </c>
      <c r="F5" s="22" t="s">
        <v>48</v>
      </c>
      <c r="G5" s="22" t="s">
        <v>49</v>
      </c>
      <c r="H5" s="22" t="s">
        <v>50</v>
      </c>
    </row>
    <row r="6" spans="1:14" x14ac:dyDescent="0.25">
      <c r="A6" s="2" t="s">
        <v>12</v>
      </c>
      <c r="B6" s="11">
        <f>'Inputs &amp; Summary'!B5</f>
        <v>420000</v>
      </c>
      <c r="E6" s="23">
        <v>0</v>
      </c>
      <c r="F6" s="24">
        <f>B5*E6</f>
        <v>0</v>
      </c>
      <c r="G6" s="24">
        <f>B6+B14*E6</f>
        <v>420000</v>
      </c>
      <c r="H6" s="24" t="e">
        <f>NA()</f>
        <v>#N/A</v>
      </c>
    </row>
    <row r="7" spans="1:14" x14ac:dyDescent="0.25">
      <c r="A7" s="2" t="s">
        <v>51</v>
      </c>
      <c r="B7" s="9">
        <f>'Inputs &amp; Summary'!B6</f>
        <v>3000000</v>
      </c>
      <c r="E7" s="23">
        <f>IF(ISNA(B16),B8,B16)</f>
        <v>2100000</v>
      </c>
      <c r="F7" s="24">
        <f>B5*E7</f>
        <v>1365000</v>
      </c>
      <c r="G7" s="24">
        <f>B6+B14*E7</f>
        <v>1365000</v>
      </c>
      <c r="H7" s="24">
        <f>IF(ISNA(B16),NA(),B6+B14*B16)</f>
        <v>1365000</v>
      </c>
    </row>
    <row r="8" spans="1:14" ht="31.5" x14ac:dyDescent="0.25">
      <c r="A8" s="2" t="s">
        <v>52</v>
      </c>
      <c r="B8" s="9">
        <f>'Inputs &amp; Summary'!B8</f>
        <v>1800000</v>
      </c>
      <c r="E8" s="23">
        <f>B7</f>
        <v>3000000</v>
      </c>
      <c r="F8" s="24">
        <f>B5*E8</f>
        <v>1950000</v>
      </c>
      <c r="G8" s="24">
        <f>B6+B14*E8</f>
        <v>1770000</v>
      </c>
      <c r="H8" s="24" t="e">
        <f>NA()</f>
        <v>#N/A</v>
      </c>
      <c r="N8" s="30" t="s">
        <v>89</v>
      </c>
    </row>
    <row r="9" spans="1:14" x14ac:dyDescent="0.25">
      <c r="A9" s="2" t="s">
        <v>53</v>
      </c>
      <c r="B9" s="25">
        <f>1</f>
        <v>1</v>
      </c>
    </row>
    <row r="10" spans="1:14" ht="23.25" x14ac:dyDescent="0.25">
      <c r="A10" s="2" t="s">
        <v>54</v>
      </c>
      <c r="B10" s="8">
        <f>'Inputs &amp; Summary'!B12</f>
        <v>0.15</v>
      </c>
      <c r="N10" s="31" t="s">
        <v>90</v>
      </c>
    </row>
    <row r="11" spans="1:14" x14ac:dyDescent="0.25">
      <c r="A11" s="2" t="s">
        <v>55</v>
      </c>
      <c r="B11" s="8">
        <f>'Inputs &amp; Summary'!B13</f>
        <v>0.1</v>
      </c>
    </row>
    <row r="12" spans="1:14" ht="18.75" x14ac:dyDescent="0.3">
      <c r="A12" s="2" t="s">
        <v>56</v>
      </c>
      <c r="B12" s="8">
        <f>'Inputs &amp; Summary'!B14</f>
        <v>0.15</v>
      </c>
      <c r="N12" s="38" t="s">
        <v>99</v>
      </c>
    </row>
    <row r="13" spans="1:14" x14ac:dyDescent="0.25">
      <c r="A13" s="2" t="s">
        <v>57</v>
      </c>
      <c r="B13" s="8">
        <f>'Inputs &amp; Summary'!B15</f>
        <v>0.05</v>
      </c>
    </row>
    <row r="14" spans="1:14" ht="23.25" x14ac:dyDescent="0.25">
      <c r="A14" s="2" t="s">
        <v>58</v>
      </c>
      <c r="B14" s="8">
        <f>SUM(B10:B13)</f>
        <v>0.45</v>
      </c>
      <c r="N14" s="31" t="s">
        <v>91</v>
      </c>
    </row>
    <row r="15" spans="1:14" x14ac:dyDescent="0.25">
      <c r="A15" s="2" t="s">
        <v>59</v>
      </c>
      <c r="B15" s="8">
        <f>B5-B14</f>
        <v>0.2</v>
      </c>
    </row>
    <row r="16" spans="1:14" ht="18.75" x14ac:dyDescent="0.3">
      <c r="A16" s="2" t="s">
        <v>60</v>
      </c>
      <c r="B16" s="9">
        <f>IF(B15&lt;=0,NA(),B6/B15)</f>
        <v>2100000</v>
      </c>
      <c r="N16" s="38" t="s">
        <v>100</v>
      </c>
    </row>
    <row r="17" spans="1:18" x14ac:dyDescent="0.25">
      <c r="A17" s="2" t="s">
        <v>61</v>
      </c>
      <c r="B17" s="10">
        <f>IFERROR(B16/B7,NA())</f>
        <v>0.7</v>
      </c>
    </row>
    <row r="18" spans="1:18" ht="23.25" x14ac:dyDescent="0.25">
      <c r="A18" s="2" t="s">
        <v>62</v>
      </c>
      <c r="B18" s="11">
        <f>B5*B8</f>
        <v>1170000</v>
      </c>
      <c r="N18" s="31" t="s">
        <v>92</v>
      </c>
    </row>
    <row r="19" spans="1:18" x14ac:dyDescent="0.25">
      <c r="A19" s="2" t="s">
        <v>63</v>
      </c>
      <c r="B19" s="11">
        <f>B14*B8</f>
        <v>810000</v>
      </c>
    </row>
    <row r="20" spans="1:18" ht="18.75" x14ac:dyDescent="0.3">
      <c r="A20" s="2" t="s">
        <v>64</v>
      </c>
      <c r="B20" s="11">
        <f>B6+B19</f>
        <v>1230000</v>
      </c>
      <c r="N20" s="38" t="s">
        <v>101</v>
      </c>
    </row>
    <row r="21" spans="1:18" x14ac:dyDescent="0.25">
      <c r="A21" s="2" t="s">
        <v>65</v>
      </c>
      <c r="B21" s="11">
        <f>B18-B20</f>
        <v>-60000</v>
      </c>
    </row>
    <row r="22" spans="1:18" ht="23.25" x14ac:dyDescent="0.25">
      <c r="N22" s="31" t="s">
        <v>93</v>
      </c>
    </row>
    <row r="24" spans="1:18" ht="18.75" x14ac:dyDescent="0.3">
      <c r="N24" s="38" t="s">
        <v>102</v>
      </c>
      <c r="O24" s="38"/>
      <c r="P24" s="38"/>
      <c r="Q24" s="38"/>
      <c r="R24" s="38"/>
    </row>
    <row r="25" spans="1:18" ht="18.75" x14ac:dyDescent="0.3">
      <c r="N25" s="38" t="s">
        <v>103</v>
      </c>
      <c r="O25" s="38"/>
      <c r="P25" s="38"/>
      <c r="Q25" s="38"/>
      <c r="R25" s="38"/>
    </row>
    <row r="26" spans="1:18" ht="18.75" x14ac:dyDescent="0.3">
      <c r="N26" s="38"/>
      <c r="O26" s="38"/>
      <c r="P26" s="38"/>
      <c r="Q26" s="38"/>
      <c r="R26" s="38"/>
    </row>
    <row r="27" spans="1:18" ht="18" x14ac:dyDescent="0.25">
      <c r="N27" s="32" t="s">
        <v>104</v>
      </c>
    </row>
    <row r="28" spans="1:18" x14ac:dyDescent="0.25">
      <c r="N28" s="33"/>
    </row>
    <row r="29" spans="1:18" x14ac:dyDescent="0.25">
      <c r="N29" s="35" t="s">
        <v>94</v>
      </c>
    </row>
    <row r="30" spans="1:18" x14ac:dyDescent="0.25">
      <c r="N30" s="33"/>
    </row>
    <row r="31" spans="1:18" x14ac:dyDescent="0.25">
      <c r="N31" s="35" t="s">
        <v>95</v>
      </c>
    </row>
    <row r="32" spans="1:18" x14ac:dyDescent="0.25">
      <c r="N32" s="33"/>
    </row>
    <row r="33" spans="14:14" x14ac:dyDescent="0.25">
      <c r="N33" s="33" t="s">
        <v>96</v>
      </c>
    </row>
    <row r="34" spans="14:14" x14ac:dyDescent="0.25">
      <c r="N34" s="36"/>
    </row>
    <row r="35" spans="14:14" x14ac:dyDescent="0.25">
      <c r="N35" s="37" t="s">
        <v>97</v>
      </c>
    </row>
    <row r="36" spans="14:14" x14ac:dyDescent="0.25">
      <c r="N36" s="36"/>
    </row>
    <row r="37" spans="14:14" x14ac:dyDescent="0.25">
      <c r="N37" s="36" t="s">
        <v>98</v>
      </c>
    </row>
  </sheetData>
  <mergeCells count="1">
    <mergeCell ref="A1:I1"/>
  </mergeCells>
  <hyperlinks>
    <hyperlink ref="I2" location="'Inputs &amp; Summary'!A1" display="Back to summary" xr:uid="{00000000-0004-0000-0100-000000000000}"/>
  </hyperlink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8"/>
  <sheetViews>
    <sheetView workbookViewId="0">
      <selection activeCell="R41" sqref="R41"/>
    </sheetView>
  </sheetViews>
  <sheetFormatPr defaultRowHeight="15" x14ac:dyDescent="0.25"/>
  <cols>
    <col min="1" max="1" width="34" customWidth="1"/>
    <col min="2" max="2" width="16" customWidth="1"/>
    <col min="3" max="4" width="3" customWidth="1"/>
    <col min="5" max="9" width="14" customWidth="1"/>
  </cols>
  <sheetData>
    <row r="1" spans="1:23" ht="15.75" x14ac:dyDescent="0.25">
      <c r="A1" s="29" t="s">
        <v>66</v>
      </c>
      <c r="B1" s="28"/>
      <c r="C1" s="28"/>
      <c r="D1" s="28"/>
      <c r="E1" s="28"/>
      <c r="F1" s="28"/>
      <c r="G1" s="28"/>
      <c r="H1" s="28"/>
      <c r="I1" s="28"/>
    </row>
    <row r="2" spans="1:23" ht="15.75" x14ac:dyDescent="0.25">
      <c r="A2" s="21" t="s">
        <v>67</v>
      </c>
      <c r="I2" s="6" t="s">
        <v>44</v>
      </c>
    </row>
    <row r="4" spans="1:23" ht="15.75" x14ac:dyDescent="0.25">
      <c r="A4" s="1" t="s">
        <v>45</v>
      </c>
      <c r="E4" s="1" t="s">
        <v>46</v>
      </c>
    </row>
    <row r="5" spans="1:23" ht="15.75" x14ac:dyDescent="0.25">
      <c r="A5" s="2" t="s">
        <v>3</v>
      </c>
      <c r="B5" s="8">
        <f>'Inputs &amp; Summary'!B4</f>
        <v>0.65</v>
      </c>
      <c r="E5" s="22" t="s">
        <v>47</v>
      </c>
      <c r="F5" s="22" t="s">
        <v>48</v>
      </c>
      <c r="G5" s="22" t="s">
        <v>49</v>
      </c>
      <c r="H5" s="22" t="s">
        <v>50</v>
      </c>
    </row>
    <row r="6" spans="1:23" x14ac:dyDescent="0.25">
      <c r="A6" s="2" t="s">
        <v>12</v>
      </c>
      <c r="B6" s="11">
        <f>'Inputs &amp; Summary'!B5</f>
        <v>420000</v>
      </c>
      <c r="E6" s="23">
        <v>0</v>
      </c>
      <c r="F6" s="24">
        <f>B5*E6</f>
        <v>0</v>
      </c>
      <c r="G6" s="24">
        <f>B6+B14*E6</f>
        <v>420000</v>
      </c>
      <c r="H6" s="24" t="e">
        <f>NA()</f>
        <v>#N/A</v>
      </c>
    </row>
    <row r="7" spans="1:23" x14ac:dyDescent="0.25">
      <c r="A7" s="2" t="s">
        <v>51</v>
      </c>
      <c r="B7" s="9">
        <f>'Inputs &amp; Summary'!B6</f>
        <v>3000000</v>
      </c>
      <c r="E7" s="23">
        <f>IF(ISNA(B16),B8,B16)</f>
        <v>1800000</v>
      </c>
      <c r="F7" s="24">
        <f>B5*E7</f>
        <v>1170000</v>
      </c>
      <c r="G7" s="24">
        <f>B6+B14*E7</f>
        <v>1623750.0000000002</v>
      </c>
      <c r="H7" s="24" t="e">
        <f>IF(ISNA(B16),NA(),B6+B14*B16)</f>
        <v>#N/A</v>
      </c>
    </row>
    <row r="8" spans="1:23" x14ac:dyDescent="0.25">
      <c r="A8" s="2" t="s">
        <v>52</v>
      </c>
      <c r="B8" s="9">
        <f>'Inputs &amp; Summary'!B8</f>
        <v>1800000</v>
      </c>
      <c r="E8" s="23">
        <f>B7</f>
        <v>3000000</v>
      </c>
      <c r="F8" s="24">
        <f>B5*E8</f>
        <v>1950000</v>
      </c>
      <c r="G8" s="24">
        <f>B6+B14*E8</f>
        <v>2426250</v>
      </c>
      <c r="H8" s="24" t="e">
        <f>NA()</f>
        <v>#N/A</v>
      </c>
    </row>
    <row r="9" spans="1:23" x14ac:dyDescent="0.25">
      <c r="A9" s="2" t="s">
        <v>53</v>
      </c>
      <c r="B9" s="25">
        <f>'Inputs &amp; Summary'!B11</f>
        <v>1.875</v>
      </c>
    </row>
    <row r="10" spans="1:23" x14ac:dyDescent="0.25">
      <c r="A10" s="2" t="s">
        <v>54</v>
      </c>
      <c r="B10" s="8">
        <f>'Inputs &amp; Summary'!B12*B9</f>
        <v>0.28125</v>
      </c>
    </row>
    <row r="11" spans="1:23" ht="31.5" x14ac:dyDescent="0.25">
      <c r="A11" s="2" t="s">
        <v>55</v>
      </c>
      <c r="B11" s="8">
        <f>'Inputs &amp; Summary'!B13*B9</f>
        <v>0.1875</v>
      </c>
      <c r="N11" s="30" t="s">
        <v>105</v>
      </c>
    </row>
    <row r="12" spans="1:23" x14ac:dyDescent="0.25">
      <c r="A12" s="2" t="s">
        <v>56</v>
      </c>
      <c r="B12" s="8">
        <f>'Inputs &amp; Summary'!B14</f>
        <v>0.15</v>
      </c>
    </row>
    <row r="13" spans="1:23" ht="18.75" x14ac:dyDescent="0.3">
      <c r="A13" s="2" t="s">
        <v>57</v>
      </c>
      <c r="B13" s="8">
        <f>'Inputs &amp; Summary'!B15</f>
        <v>0.05</v>
      </c>
      <c r="N13" s="38" t="s">
        <v>112</v>
      </c>
      <c r="O13" s="38"/>
      <c r="P13" s="38"/>
      <c r="Q13" s="38"/>
      <c r="R13" s="38"/>
      <c r="S13" s="38"/>
      <c r="T13" s="38"/>
      <c r="U13" s="38"/>
      <c r="V13" s="38"/>
      <c r="W13" s="38"/>
    </row>
    <row r="14" spans="1:23" x14ac:dyDescent="0.25">
      <c r="A14" s="2" t="s">
        <v>58</v>
      </c>
      <c r="B14" s="8">
        <f>SUM(B10:B13)</f>
        <v>0.66875000000000007</v>
      </c>
    </row>
    <row r="15" spans="1:23" ht="23.25" x14ac:dyDescent="0.25">
      <c r="A15" s="2" t="s">
        <v>59</v>
      </c>
      <c r="B15" s="8">
        <f>B5-B14</f>
        <v>-1.8750000000000044E-2</v>
      </c>
      <c r="N15" s="31" t="s">
        <v>106</v>
      </c>
    </row>
    <row r="16" spans="1:23" x14ac:dyDescent="0.25">
      <c r="A16" s="2" t="s">
        <v>60</v>
      </c>
      <c r="B16" s="9" t="e">
        <f>IF(B15&lt;=0,NA(),B6/B15)</f>
        <v>#N/A</v>
      </c>
    </row>
    <row r="17" spans="1:16" ht="18.75" x14ac:dyDescent="0.3">
      <c r="A17" s="2" t="s">
        <v>61</v>
      </c>
      <c r="B17" s="10" t="e">
        <f>IFERROR(B16/B7,NA())</f>
        <v>#N/A</v>
      </c>
      <c r="N17" s="38" t="s">
        <v>107</v>
      </c>
      <c r="O17" s="38"/>
    </row>
    <row r="18" spans="1:16" x14ac:dyDescent="0.25">
      <c r="A18" s="2" t="s">
        <v>62</v>
      </c>
      <c r="B18" s="11">
        <f>B5*B8</f>
        <v>1170000</v>
      </c>
    </row>
    <row r="19" spans="1:16" ht="23.25" x14ac:dyDescent="0.25">
      <c r="A19" s="2" t="s">
        <v>63</v>
      </c>
      <c r="B19" s="11">
        <f>B14*B8</f>
        <v>1203750.0000000002</v>
      </c>
      <c r="N19" s="31" t="s">
        <v>108</v>
      </c>
    </row>
    <row r="20" spans="1:16" x14ac:dyDescent="0.25">
      <c r="A20" s="2" t="s">
        <v>64</v>
      </c>
      <c r="B20" s="11">
        <f>B6+B19</f>
        <v>1623750.0000000002</v>
      </c>
    </row>
    <row r="21" spans="1:16" ht="18.75" x14ac:dyDescent="0.3">
      <c r="A21" s="2" t="s">
        <v>65</v>
      </c>
      <c r="B21" s="11">
        <f>B18-B20</f>
        <v>-453750.00000000023</v>
      </c>
      <c r="N21" s="38" t="s">
        <v>109</v>
      </c>
      <c r="O21" s="38"/>
      <c r="P21" s="38"/>
    </row>
    <row r="24" spans="1:16" ht="23.25" x14ac:dyDescent="0.25">
      <c r="N24" s="31" t="s">
        <v>110</v>
      </c>
    </row>
    <row r="26" spans="1:16" ht="18.75" x14ac:dyDescent="0.3">
      <c r="N26" s="38" t="s">
        <v>111</v>
      </c>
      <c r="O26" s="38"/>
      <c r="P26" s="38"/>
    </row>
    <row r="28" spans="1:16" ht="23.25" x14ac:dyDescent="0.25">
      <c r="N28" s="31" t="s">
        <v>113</v>
      </c>
    </row>
    <row r="29" spans="1:16" x14ac:dyDescent="0.25">
      <c r="N29" s="33"/>
    </row>
    <row r="30" spans="1:16" x14ac:dyDescent="0.25">
      <c r="N30" s="33" t="s">
        <v>114</v>
      </c>
    </row>
    <row r="31" spans="1:16" x14ac:dyDescent="0.25">
      <c r="N31" s="33"/>
    </row>
    <row r="32" spans="1:16" x14ac:dyDescent="0.25">
      <c r="N32" s="33" t="s">
        <v>115</v>
      </c>
    </row>
    <row r="33" spans="14:18" x14ac:dyDescent="0.25">
      <c r="N33" s="33"/>
    </row>
    <row r="34" spans="14:18" x14ac:dyDescent="0.25">
      <c r="N34" s="33" t="s">
        <v>116</v>
      </c>
    </row>
    <row r="35" spans="14:18" x14ac:dyDescent="0.25">
      <c r="N35" s="33"/>
    </row>
    <row r="36" spans="14:18" x14ac:dyDescent="0.25">
      <c r="N36" s="33" t="s">
        <v>117</v>
      </c>
    </row>
    <row r="38" spans="14:18" ht="18.75" x14ac:dyDescent="0.3">
      <c r="N38" s="38" t="s">
        <v>118</v>
      </c>
      <c r="O38" s="38"/>
      <c r="P38" s="38"/>
      <c r="Q38" s="38"/>
      <c r="R38" s="38"/>
    </row>
  </sheetData>
  <mergeCells count="1">
    <mergeCell ref="A1:I1"/>
  </mergeCells>
  <hyperlinks>
    <hyperlink ref="I2" location="'Inputs &amp; Summary'!A1" display="Back to summary" xr:uid="{00000000-0004-0000-0200-000000000000}"/>
  </hyperlink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4"/>
  <sheetViews>
    <sheetView workbookViewId="0">
      <selection activeCell="M12" sqref="M12"/>
    </sheetView>
  </sheetViews>
  <sheetFormatPr defaultRowHeight="15" x14ac:dyDescent="0.25"/>
  <cols>
    <col min="1" max="1" width="34" customWidth="1"/>
    <col min="2" max="2" width="16" customWidth="1"/>
    <col min="3" max="4" width="3" customWidth="1"/>
    <col min="5" max="9" width="14" customWidth="1"/>
  </cols>
  <sheetData>
    <row r="1" spans="1:17" ht="15.75" x14ac:dyDescent="0.25">
      <c r="A1" s="29" t="s">
        <v>68</v>
      </c>
      <c r="B1" s="28"/>
      <c r="C1" s="28"/>
      <c r="D1" s="28"/>
      <c r="E1" s="28"/>
      <c r="F1" s="28"/>
      <c r="G1" s="28"/>
      <c r="H1" s="28"/>
      <c r="I1" s="28"/>
    </row>
    <row r="2" spans="1:17" ht="15.75" x14ac:dyDescent="0.25">
      <c r="A2" s="21" t="s">
        <v>69</v>
      </c>
      <c r="I2" s="6" t="s">
        <v>44</v>
      </c>
    </row>
    <row r="4" spans="1:17" ht="15.75" x14ac:dyDescent="0.25">
      <c r="A4" s="1" t="s">
        <v>45</v>
      </c>
      <c r="E4" s="1" t="s">
        <v>46</v>
      </c>
    </row>
    <row r="5" spans="1:17" ht="15.75" x14ac:dyDescent="0.25">
      <c r="A5" s="2" t="s">
        <v>3</v>
      </c>
      <c r="B5" s="8">
        <f>'Inputs &amp; Summary'!B4</f>
        <v>0.65</v>
      </c>
      <c r="E5" s="22" t="s">
        <v>47</v>
      </c>
      <c r="F5" s="22" t="s">
        <v>48</v>
      </c>
      <c r="G5" s="22" t="s">
        <v>49</v>
      </c>
      <c r="H5" s="22" t="s">
        <v>50</v>
      </c>
    </row>
    <row r="6" spans="1:17" x14ac:dyDescent="0.25">
      <c r="A6" s="2" t="s">
        <v>12</v>
      </c>
      <c r="B6" s="11">
        <f>'Inputs &amp; Summary'!B5</f>
        <v>420000</v>
      </c>
      <c r="E6" s="23">
        <v>0</v>
      </c>
      <c r="F6" s="24">
        <f>B5*E6</f>
        <v>0</v>
      </c>
      <c r="G6" s="24">
        <f>B6+B14*E6</f>
        <v>420000</v>
      </c>
      <c r="H6" s="24" t="e">
        <f>NA()</f>
        <v>#N/A</v>
      </c>
    </row>
    <row r="7" spans="1:17" x14ac:dyDescent="0.25">
      <c r="A7" s="2" t="s">
        <v>51</v>
      </c>
      <c r="B7" s="9">
        <f>'Inputs &amp; Summary'!B6</f>
        <v>3000000</v>
      </c>
      <c r="E7" s="23">
        <f>IF(ISNA(B16),B8,B16)</f>
        <v>1800000</v>
      </c>
      <c r="F7" s="24">
        <f>B5*E7</f>
        <v>1170000</v>
      </c>
      <c r="G7" s="24">
        <f>B6+B14*E7</f>
        <v>1830750</v>
      </c>
      <c r="H7" s="24" t="e">
        <f>IF(ISNA(B16),NA(),B6+B14*B16)</f>
        <v>#N/A</v>
      </c>
    </row>
    <row r="8" spans="1:17" ht="23.25" x14ac:dyDescent="0.25">
      <c r="A8" s="2" t="s">
        <v>52</v>
      </c>
      <c r="B8" s="9">
        <f>'Inputs &amp; Summary'!B8</f>
        <v>1800000</v>
      </c>
      <c r="E8" s="23">
        <f>B7</f>
        <v>3000000</v>
      </c>
      <c r="F8" s="24">
        <f>B5*E8</f>
        <v>1950000</v>
      </c>
      <c r="G8" s="24">
        <f>B6+B14*E8</f>
        <v>2771250</v>
      </c>
      <c r="H8" s="24" t="e">
        <f>NA()</f>
        <v>#N/A</v>
      </c>
      <c r="P8" s="31" t="s">
        <v>119</v>
      </c>
    </row>
    <row r="9" spans="1:17" x14ac:dyDescent="0.25">
      <c r="A9" s="2" t="s">
        <v>53</v>
      </c>
      <c r="B9" s="25">
        <f>'Inputs &amp; Summary'!B11</f>
        <v>1.875</v>
      </c>
      <c r="P9" s="33"/>
    </row>
    <row r="10" spans="1:17" x14ac:dyDescent="0.25">
      <c r="A10" s="2" t="s">
        <v>54</v>
      </c>
      <c r="B10" s="8">
        <f>'Inputs &amp; Summary'!B12*B9</f>
        <v>0.28125</v>
      </c>
      <c r="P10" s="35" t="s">
        <v>120</v>
      </c>
      <c r="Q10" s="34"/>
    </row>
    <row r="11" spans="1:17" x14ac:dyDescent="0.25">
      <c r="A11" s="2" t="s">
        <v>55</v>
      </c>
      <c r="B11" s="8">
        <f>'Inputs &amp; Summary'!B13*B9</f>
        <v>0.1875</v>
      </c>
      <c r="P11" s="34"/>
      <c r="Q11" s="34"/>
    </row>
    <row r="12" spans="1:17" x14ac:dyDescent="0.25">
      <c r="A12" s="2" t="s">
        <v>56</v>
      </c>
      <c r="B12" s="8">
        <f>'Inputs &amp; Summary'!B14*(1+'Inputs &amp; Summary'!B19)</f>
        <v>0.255</v>
      </c>
      <c r="P12" s="34" t="s">
        <v>132</v>
      </c>
      <c r="Q12" s="34"/>
    </row>
    <row r="13" spans="1:17" x14ac:dyDescent="0.25">
      <c r="A13" s="2" t="s">
        <v>57</v>
      </c>
      <c r="B13" s="8">
        <f>'Inputs &amp; Summary'!B15*(1+'Inputs &amp; Summary'!B20)</f>
        <v>0.06</v>
      </c>
      <c r="P13" s="35"/>
      <c r="Q13" s="34"/>
    </row>
    <row r="14" spans="1:17" x14ac:dyDescent="0.25">
      <c r="A14" s="2" t="s">
        <v>58</v>
      </c>
      <c r="B14" s="8">
        <f>SUM(B10:B13)</f>
        <v>0.78374999999999995</v>
      </c>
      <c r="P14" s="35" t="s">
        <v>121</v>
      </c>
      <c r="Q14" s="34"/>
    </row>
    <row r="15" spans="1:17" x14ac:dyDescent="0.25">
      <c r="A15" s="2" t="s">
        <v>59</v>
      </c>
      <c r="B15" s="8">
        <f>B5-B14</f>
        <v>-0.13374999999999992</v>
      </c>
      <c r="P15" s="34"/>
      <c r="Q15" s="34"/>
    </row>
    <row r="16" spans="1:17" x14ac:dyDescent="0.25">
      <c r="A16" s="2" t="s">
        <v>60</v>
      </c>
      <c r="B16" s="9" t="e">
        <f>IF(B15&lt;=0,NA(),B6/B15)</f>
        <v>#N/A</v>
      </c>
      <c r="P16" s="34" t="s">
        <v>133</v>
      </c>
      <c r="Q16" s="34"/>
    </row>
    <row r="17" spans="1:20" x14ac:dyDescent="0.25">
      <c r="A17" s="2" t="s">
        <v>61</v>
      </c>
      <c r="B17" s="10" t="e">
        <f>IFERROR(B16/B7,NA())</f>
        <v>#N/A</v>
      </c>
      <c r="P17" s="34"/>
      <c r="Q17" s="34"/>
    </row>
    <row r="18" spans="1:20" x14ac:dyDescent="0.25">
      <c r="A18" s="2" t="s">
        <v>62</v>
      </c>
      <c r="B18" s="11">
        <f>B5*B8</f>
        <v>1170000</v>
      </c>
      <c r="O18" s="34"/>
      <c r="P18" s="34" t="s">
        <v>122</v>
      </c>
      <c r="Q18" s="34"/>
      <c r="R18" s="34"/>
      <c r="S18" s="34"/>
      <c r="T18" s="34"/>
    </row>
    <row r="19" spans="1:20" x14ac:dyDescent="0.25">
      <c r="A19" s="2" t="s">
        <v>63</v>
      </c>
      <c r="B19" s="11">
        <f>B14*B8</f>
        <v>1410750</v>
      </c>
      <c r="O19" s="34"/>
      <c r="P19" s="34"/>
      <c r="Q19" s="34"/>
      <c r="R19" s="34"/>
      <c r="S19" s="34"/>
      <c r="T19" s="34"/>
    </row>
    <row r="20" spans="1:20" x14ac:dyDescent="0.25">
      <c r="A20" s="2" t="s">
        <v>64</v>
      </c>
      <c r="B20" s="11">
        <f>B6+B19</f>
        <v>1830750</v>
      </c>
      <c r="O20" s="34"/>
      <c r="P20" s="34" t="s">
        <v>134</v>
      </c>
      <c r="Q20" s="34"/>
      <c r="R20" s="34"/>
      <c r="S20" s="34"/>
      <c r="T20" s="34"/>
    </row>
    <row r="21" spans="1:20" x14ac:dyDescent="0.25">
      <c r="A21" s="2" t="s">
        <v>65</v>
      </c>
      <c r="B21" s="11">
        <f>B18-B20</f>
        <v>-660750</v>
      </c>
    </row>
    <row r="23" spans="1:20" ht="31.5" x14ac:dyDescent="0.25">
      <c r="P23" s="30" t="s">
        <v>123</v>
      </c>
    </row>
    <row r="25" spans="1:20" ht="18.75" x14ac:dyDescent="0.3">
      <c r="P25" s="39" t="s">
        <v>137</v>
      </c>
      <c r="Q25" s="39"/>
      <c r="R25" s="39"/>
      <c r="S25" s="39"/>
    </row>
    <row r="27" spans="1:20" ht="23.25" x14ac:dyDescent="0.25">
      <c r="P27" s="31" t="s">
        <v>124</v>
      </c>
    </row>
    <row r="29" spans="1:20" ht="18.75" x14ac:dyDescent="0.3">
      <c r="P29" s="39" t="s">
        <v>135</v>
      </c>
      <c r="Q29" s="39"/>
      <c r="R29" s="39"/>
      <c r="S29" s="39"/>
    </row>
    <row r="31" spans="1:20" ht="23.25" x14ac:dyDescent="0.25">
      <c r="P31" s="31" t="s">
        <v>125</v>
      </c>
    </row>
    <row r="33" spans="16:21" ht="18.75" x14ac:dyDescent="0.3">
      <c r="P33" s="39" t="s">
        <v>136</v>
      </c>
      <c r="Q33" s="39"/>
      <c r="R33" s="39"/>
    </row>
    <row r="35" spans="16:21" x14ac:dyDescent="0.25">
      <c r="P35" t="s">
        <v>126</v>
      </c>
    </row>
    <row r="36" spans="16:21" x14ac:dyDescent="0.25">
      <c r="P36" s="33"/>
    </row>
    <row r="37" spans="16:21" x14ac:dyDescent="0.25">
      <c r="P37" s="35" t="s">
        <v>127</v>
      </c>
    </row>
    <row r="38" spans="16:21" x14ac:dyDescent="0.25">
      <c r="P38" s="33"/>
    </row>
    <row r="39" spans="16:21" x14ac:dyDescent="0.25">
      <c r="P39" s="35" t="s">
        <v>128</v>
      </c>
    </row>
    <row r="40" spans="16:21" x14ac:dyDescent="0.25">
      <c r="P40" s="33"/>
    </row>
    <row r="41" spans="16:21" ht="18.75" x14ac:dyDescent="0.3">
      <c r="P41" s="40" t="s">
        <v>129</v>
      </c>
      <c r="Q41" s="38"/>
      <c r="R41" s="38"/>
      <c r="S41" s="38"/>
      <c r="T41" s="38"/>
      <c r="U41" s="38"/>
    </row>
    <row r="43" spans="16:21" x14ac:dyDescent="0.25">
      <c r="P43" t="s">
        <v>130</v>
      </c>
    </row>
    <row r="44" spans="16:21" x14ac:dyDescent="0.25">
      <c r="P44" s="34" t="s">
        <v>131</v>
      </c>
    </row>
  </sheetData>
  <mergeCells count="1">
    <mergeCell ref="A1:I1"/>
  </mergeCells>
  <hyperlinks>
    <hyperlink ref="I2" location="'Inputs &amp; Summary'!A1" display="Back to summary" xr:uid="{00000000-0004-0000-0300-000000000000}"/>
  </hyperlink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2"/>
  <sheetViews>
    <sheetView workbookViewId="0">
      <selection activeCell="N39" sqref="N39"/>
    </sheetView>
  </sheetViews>
  <sheetFormatPr defaultRowHeight="15" x14ac:dyDescent="0.25"/>
  <cols>
    <col min="1" max="1" width="34" customWidth="1"/>
    <col min="2" max="2" width="16" customWidth="1"/>
    <col min="3" max="4" width="3" customWidth="1"/>
    <col min="5" max="9" width="14" customWidth="1"/>
  </cols>
  <sheetData>
    <row r="1" spans="1:14" ht="15.75" x14ac:dyDescent="0.25">
      <c r="A1" s="29" t="s">
        <v>70</v>
      </c>
      <c r="B1" s="28"/>
      <c r="C1" s="28"/>
      <c r="D1" s="28"/>
      <c r="E1" s="28"/>
      <c r="F1" s="28"/>
      <c r="G1" s="28"/>
      <c r="H1" s="28"/>
      <c r="I1" s="28"/>
    </row>
    <row r="2" spans="1:14" ht="15.75" x14ac:dyDescent="0.25">
      <c r="A2" s="21" t="s">
        <v>71</v>
      </c>
      <c r="I2" s="6" t="s">
        <v>44</v>
      </c>
    </row>
    <row r="4" spans="1:14" ht="15.75" x14ac:dyDescent="0.25">
      <c r="A4" s="1" t="s">
        <v>45</v>
      </c>
      <c r="E4" s="1" t="s">
        <v>46</v>
      </c>
    </row>
    <row r="5" spans="1:14" ht="15.75" x14ac:dyDescent="0.25">
      <c r="A5" s="2" t="s">
        <v>3</v>
      </c>
      <c r="B5" s="8">
        <f>B14+'Inputs &amp; Summary'!B17</f>
        <v>0.86875000000000013</v>
      </c>
      <c r="E5" s="22" t="s">
        <v>47</v>
      </c>
      <c r="F5" s="22" t="s">
        <v>48</v>
      </c>
      <c r="G5" s="22" t="s">
        <v>49</v>
      </c>
      <c r="H5" s="22" t="s">
        <v>50</v>
      </c>
    </row>
    <row r="6" spans="1:14" x14ac:dyDescent="0.25">
      <c r="A6" s="2" t="s">
        <v>12</v>
      </c>
      <c r="B6" s="11">
        <f>'Inputs &amp; Summary'!B5</f>
        <v>420000</v>
      </c>
      <c r="E6" s="23">
        <v>0</v>
      </c>
      <c r="F6" s="24">
        <f>B5*E6</f>
        <v>0</v>
      </c>
      <c r="G6" s="24">
        <f>B6+B14*E6</f>
        <v>420000</v>
      </c>
      <c r="H6" s="24" t="e">
        <f>NA()</f>
        <v>#N/A</v>
      </c>
    </row>
    <row r="7" spans="1:14" x14ac:dyDescent="0.25">
      <c r="A7" s="2" t="s">
        <v>51</v>
      </c>
      <c r="B7" s="9">
        <f>'Inputs &amp; Summary'!B6</f>
        <v>3000000</v>
      </c>
      <c r="E7" s="23">
        <f>IF(ISNA(B16),B8,B16)</f>
        <v>2099999.9999999991</v>
      </c>
      <c r="F7" s="24">
        <f>B5*E7</f>
        <v>1824374.9999999995</v>
      </c>
      <c r="G7" s="24">
        <f>B6+B14*E7</f>
        <v>1824374.9999999995</v>
      </c>
      <c r="H7" s="24">
        <f>IF(ISNA(B16),NA(),B6+B14*B16)</f>
        <v>1824374.9999999995</v>
      </c>
    </row>
    <row r="8" spans="1:14" x14ac:dyDescent="0.25">
      <c r="A8" s="2" t="s">
        <v>52</v>
      </c>
      <c r="B8" s="9">
        <f>'Inputs &amp; Summary'!B8</f>
        <v>1800000</v>
      </c>
      <c r="E8" s="23">
        <f>B7</f>
        <v>3000000</v>
      </c>
      <c r="F8" s="24">
        <f>B5*E8</f>
        <v>2606250.0000000005</v>
      </c>
      <c r="G8" s="24">
        <f>B6+B14*E8</f>
        <v>2426250</v>
      </c>
      <c r="H8" s="24" t="e">
        <f>NA()</f>
        <v>#N/A</v>
      </c>
    </row>
    <row r="9" spans="1:14" x14ac:dyDescent="0.25">
      <c r="A9" s="2" t="s">
        <v>53</v>
      </c>
      <c r="B9" s="25">
        <f>'Inputs &amp; Summary'!B11</f>
        <v>1.875</v>
      </c>
    </row>
    <row r="10" spans="1:14" x14ac:dyDescent="0.25">
      <c r="A10" s="2" t="s">
        <v>54</v>
      </c>
      <c r="B10" s="8">
        <f>'Inputs &amp; Summary'!B12*B9</f>
        <v>0.28125</v>
      </c>
    </row>
    <row r="11" spans="1:14" ht="31.5" x14ac:dyDescent="0.25">
      <c r="A11" s="2" t="s">
        <v>55</v>
      </c>
      <c r="B11" s="8">
        <f>'Inputs &amp; Summary'!B13*B9</f>
        <v>0.1875</v>
      </c>
      <c r="N11" s="30" t="s">
        <v>139</v>
      </c>
    </row>
    <row r="12" spans="1:14" x14ac:dyDescent="0.25">
      <c r="A12" s="2" t="s">
        <v>56</v>
      </c>
      <c r="B12" s="8">
        <f>'Inputs &amp; Summary'!B14</f>
        <v>0.15</v>
      </c>
    </row>
    <row r="13" spans="1:14" x14ac:dyDescent="0.25">
      <c r="A13" s="2" t="s">
        <v>57</v>
      </c>
      <c r="B13" s="8">
        <f>'Inputs &amp; Summary'!B15</f>
        <v>0.05</v>
      </c>
      <c r="N13" t="s">
        <v>140</v>
      </c>
    </row>
    <row r="14" spans="1:14" x14ac:dyDescent="0.25">
      <c r="A14" s="2" t="s">
        <v>58</v>
      </c>
      <c r="B14" s="8">
        <f>SUM(B10:B13)</f>
        <v>0.66875000000000007</v>
      </c>
    </row>
    <row r="15" spans="1:14" x14ac:dyDescent="0.25">
      <c r="A15" s="2" t="s">
        <v>59</v>
      </c>
      <c r="B15" s="8">
        <f>B5-B14</f>
        <v>0.20000000000000007</v>
      </c>
      <c r="N15" t="s">
        <v>152</v>
      </c>
    </row>
    <row r="16" spans="1:14" x14ac:dyDescent="0.25">
      <c r="A16" s="2" t="s">
        <v>60</v>
      </c>
      <c r="B16" s="9">
        <f>IF(B15&lt;=0,NA(),B6/B15)</f>
        <v>2099999.9999999991</v>
      </c>
    </row>
    <row r="17" spans="1:14" ht="23.25" x14ac:dyDescent="0.25">
      <c r="A17" s="2" t="s">
        <v>61</v>
      </c>
      <c r="B17" s="10">
        <f>IFERROR(B16/B7,NA())</f>
        <v>0.69999999999999973</v>
      </c>
      <c r="N17" s="31" t="s">
        <v>141</v>
      </c>
    </row>
    <row r="18" spans="1:14" x14ac:dyDescent="0.25">
      <c r="A18" s="2" t="s">
        <v>62</v>
      </c>
      <c r="B18" s="11">
        <f>B5*B8</f>
        <v>1563750.0000000002</v>
      </c>
    </row>
    <row r="19" spans="1:14" x14ac:dyDescent="0.25">
      <c r="A19" s="2" t="s">
        <v>63</v>
      </c>
      <c r="B19" s="11">
        <f>B14*B8</f>
        <v>1203750.0000000002</v>
      </c>
      <c r="N19" t="s">
        <v>153</v>
      </c>
    </row>
    <row r="20" spans="1:14" x14ac:dyDescent="0.25">
      <c r="A20" s="2" t="s">
        <v>64</v>
      </c>
      <c r="B20" s="11">
        <f>B6+B19</f>
        <v>1623750.0000000002</v>
      </c>
    </row>
    <row r="21" spans="1:14" ht="23.25" x14ac:dyDescent="0.25">
      <c r="A21" s="2" t="s">
        <v>65</v>
      </c>
      <c r="B21" s="11">
        <f>B18-B20</f>
        <v>-60000</v>
      </c>
      <c r="N21" s="31" t="s">
        <v>142</v>
      </c>
    </row>
    <row r="23" spans="1:14" x14ac:dyDescent="0.25">
      <c r="N23" t="s">
        <v>154</v>
      </c>
    </row>
    <row r="25" spans="1:14" ht="23.25" x14ac:dyDescent="0.25">
      <c r="N25" s="31" t="s">
        <v>143</v>
      </c>
    </row>
    <row r="27" spans="1:14" x14ac:dyDescent="0.25">
      <c r="N27" t="s">
        <v>144</v>
      </c>
    </row>
    <row r="29" spans="1:14" x14ac:dyDescent="0.25">
      <c r="N29" t="s">
        <v>155</v>
      </c>
    </row>
    <row r="31" spans="1:14" ht="18" x14ac:dyDescent="0.25">
      <c r="N31" s="32" t="s">
        <v>145</v>
      </c>
    </row>
    <row r="32" spans="1:14" x14ac:dyDescent="0.25">
      <c r="N32" s="33"/>
    </row>
    <row r="33" spans="14:14" x14ac:dyDescent="0.25">
      <c r="N33" s="35" t="s">
        <v>146</v>
      </c>
    </row>
    <row r="34" spans="14:14" x14ac:dyDescent="0.25">
      <c r="N34" s="33"/>
    </row>
    <row r="35" spans="14:14" x14ac:dyDescent="0.25">
      <c r="N35" s="35" t="s">
        <v>147</v>
      </c>
    </row>
    <row r="36" spans="14:14" x14ac:dyDescent="0.25">
      <c r="N36" s="33"/>
    </row>
    <row r="37" spans="14:14" x14ac:dyDescent="0.25">
      <c r="N37" s="35" t="s">
        <v>148</v>
      </c>
    </row>
    <row r="39" spans="14:14" ht="18" x14ac:dyDescent="0.25">
      <c r="N39" s="32" t="s">
        <v>149</v>
      </c>
    </row>
    <row r="41" spans="14:14" x14ac:dyDescent="0.25">
      <c r="N41" t="s">
        <v>150</v>
      </c>
    </row>
    <row r="42" spans="14:14" x14ac:dyDescent="0.25">
      <c r="N42" t="s">
        <v>151</v>
      </c>
    </row>
  </sheetData>
  <mergeCells count="1">
    <mergeCell ref="A1:I1"/>
  </mergeCells>
  <hyperlinks>
    <hyperlink ref="I2" location="'Inputs &amp; Summary'!A1" display="Back to summary" xr:uid="{00000000-0004-0000-0400-000000000000}"/>
  </hyperlink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1"/>
  <sheetViews>
    <sheetView workbookViewId="0">
      <selection activeCell="H8" sqref="H8"/>
    </sheetView>
  </sheetViews>
  <sheetFormatPr defaultRowHeight="15" x14ac:dyDescent="0.25"/>
  <cols>
    <col min="1" max="1" width="34" customWidth="1"/>
    <col min="2" max="2" width="16" customWidth="1"/>
    <col min="3" max="4" width="3" customWidth="1"/>
    <col min="5" max="9" width="14" customWidth="1"/>
  </cols>
  <sheetData>
    <row r="1" spans="1:9" ht="15.75" x14ac:dyDescent="0.25">
      <c r="A1" s="29" t="s">
        <v>72</v>
      </c>
      <c r="B1" s="28"/>
      <c r="C1" s="28"/>
      <c r="D1" s="28"/>
      <c r="E1" s="28"/>
      <c r="F1" s="28"/>
      <c r="G1" s="28"/>
      <c r="H1" s="28"/>
      <c r="I1" s="28"/>
    </row>
    <row r="2" spans="1:9" ht="15.75" x14ac:dyDescent="0.25">
      <c r="A2" s="21" t="s">
        <v>73</v>
      </c>
      <c r="I2" s="6" t="s">
        <v>44</v>
      </c>
    </row>
    <row r="4" spans="1:9" ht="15.75" x14ac:dyDescent="0.25">
      <c r="A4" s="1" t="s">
        <v>45</v>
      </c>
      <c r="E4" s="1" t="s">
        <v>46</v>
      </c>
    </row>
    <row r="5" spans="1:9" ht="15.75" x14ac:dyDescent="0.25">
      <c r="A5" s="2" t="s">
        <v>3</v>
      </c>
      <c r="B5" s="8">
        <f>B14+'Inputs &amp; Summary'!B17</f>
        <v>0.9837499999999999</v>
      </c>
      <c r="E5" s="22" t="s">
        <v>47</v>
      </c>
      <c r="F5" s="22" t="s">
        <v>48</v>
      </c>
      <c r="G5" s="22" t="s">
        <v>49</v>
      </c>
      <c r="H5" s="22" t="s">
        <v>50</v>
      </c>
    </row>
    <row r="6" spans="1:9" x14ac:dyDescent="0.25">
      <c r="A6" s="2" t="s">
        <v>12</v>
      </c>
      <c r="B6" s="11">
        <f>'Inputs &amp; Summary'!B5</f>
        <v>420000</v>
      </c>
      <c r="E6" s="23">
        <v>0</v>
      </c>
      <c r="F6" s="24">
        <f>B5*E6</f>
        <v>0</v>
      </c>
      <c r="G6" s="24">
        <f>B6+B14*E6</f>
        <v>420000</v>
      </c>
      <c r="H6" s="24" t="e">
        <f>NA()</f>
        <v>#N/A</v>
      </c>
    </row>
    <row r="7" spans="1:9" x14ac:dyDescent="0.25">
      <c r="A7" s="2" t="s">
        <v>51</v>
      </c>
      <c r="B7" s="9">
        <f>'Inputs &amp; Summary'!B6</f>
        <v>3000000</v>
      </c>
      <c r="E7" s="23">
        <f>IF(ISNA(B16),B8,B16)</f>
        <v>2100000.0000000005</v>
      </c>
      <c r="F7" s="24">
        <f>B5*E7</f>
        <v>2065875.0000000002</v>
      </c>
      <c r="G7" s="24">
        <f>B6+B14*E7</f>
        <v>2065875.0000000002</v>
      </c>
      <c r="H7" s="24">
        <f>IF(ISNA(B16),NA(),B6+B14*B16)</f>
        <v>2065875.0000000002</v>
      </c>
    </row>
    <row r="8" spans="1:9" x14ac:dyDescent="0.25">
      <c r="A8" s="2" t="s">
        <v>52</v>
      </c>
      <c r="B8" s="9">
        <f>'Inputs &amp; Summary'!B8</f>
        <v>1800000</v>
      </c>
      <c r="E8" s="23">
        <f>B7</f>
        <v>3000000</v>
      </c>
      <c r="F8" s="24">
        <f>B5*E8</f>
        <v>2951249.9999999995</v>
      </c>
      <c r="G8" s="24">
        <f>B6+B14*E8</f>
        <v>2771250</v>
      </c>
      <c r="H8" s="24" t="e">
        <f>NA()</f>
        <v>#N/A</v>
      </c>
    </row>
    <row r="9" spans="1:9" x14ac:dyDescent="0.25">
      <c r="A9" s="2" t="s">
        <v>53</v>
      </c>
      <c r="B9" s="25">
        <f>'Inputs &amp; Summary'!B11</f>
        <v>1.875</v>
      </c>
    </row>
    <row r="10" spans="1:9" x14ac:dyDescent="0.25">
      <c r="A10" s="2" t="s">
        <v>54</v>
      </c>
      <c r="B10" s="8">
        <f>'Inputs &amp; Summary'!B12*B9</f>
        <v>0.28125</v>
      </c>
    </row>
    <row r="11" spans="1:9" x14ac:dyDescent="0.25">
      <c r="A11" s="2" t="s">
        <v>55</v>
      </c>
      <c r="B11" s="8">
        <f>'Inputs &amp; Summary'!B13*B9</f>
        <v>0.1875</v>
      </c>
    </row>
    <row r="12" spans="1:9" x14ac:dyDescent="0.25">
      <c r="A12" s="2" t="s">
        <v>56</v>
      </c>
      <c r="B12" s="8">
        <f>'Inputs &amp; Summary'!B14*(1+'Inputs &amp; Summary'!B19)</f>
        <v>0.255</v>
      </c>
    </row>
    <row r="13" spans="1:9" x14ac:dyDescent="0.25">
      <c r="A13" s="2" t="s">
        <v>57</v>
      </c>
      <c r="B13" s="8">
        <f>'Inputs &amp; Summary'!B15*(1+'Inputs &amp; Summary'!B20)</f>
        <v>0.06</v>
      </c>
    </row>
    <row r="14" spans="1:9" x14ac:dyDescent="0.25">
      <c r="A14" s="2" t="s">
        <v>58</v>
      </c>
      <c r="B14" s="8">
        <f>SUM(B10:B13)</f>
        <v>0.78374999999999995</v>
      </c>
    </row>
    <row r="15" spans="1:9" x14ac:dyDescent="0.25">
      <c r="A15" s="2" t="s">
        <v>59</v>
      </c>
      <c r="B15" s="8">
        <f>B5-B14</f>
        <v>0.19999999999999996</v>
      </c>
    </row>
    <row r="16" spans="1:9" x14ac:dyDescent="0.25">
      <c r="A16" s="2" t="s">
        <v>60</v>
      </c>
      <c r="B16" s="9">
        <f>IF(B15&lt;=0,NA(),B6/B15)</f>
        <v>2100000.0000000005</v>
      </c>
    </row>
    <row r="17" spans="1:2" x14ac:dyDescent="0.25">
      <c r="A17" s="2" t="s">
        <v>61</v>
      </c>
      <c r="B17" s="10">
        <f>IFERROR(B16/B7,NA())</f>
        <v>0.70000000000000018</v>
      </c>
    </row>
    <row r="18" spans="1:2" x14ac:dyDescent="0.25">
      <c r="A18" s="2" t="s">
        <v>62</v>
      </c>
      <c r="B18" s="11">
        <f>B5*B8</f>
        <v>1770749.9999999998</v>
      </c>
    </row>
    <row r="19" spans="1:2" x14ac:dyDescent="0.25">
      <c r="A19" s="2" t="s">
        <v>63</v>
      </c>
      <c r="B19" s="11">
        <f>B14*B8</f>
        <v>1410750</v>
      </c>
    </row>
    <row r="20" spans="1:2" x14ac:dyDescent="0.25">
      <c r="A20" s="2" t="s">
        <v>64</v>
      </c>
      <c r="B20" s="11">
        <f>B6+B19</f>
        <v>1830750</v>
      </c>
    </row>
    <row r="21" spans="1:2" x14ac:dyDescent="0.25">
      <c r="A21" s="2" t="s">
        <v>65</v>
      </c>
      <c r="B21" s="11">
        <f>B18-B20</f>
        <v>-60000.000000000233</v>
      </c>
    </row>
  </sheetData>
  <mergeCells count="1">
    <mergeCell ref="A1:I1"/>
  </mergeCells>
  <hyperlinks>
    <hyperlink ref="I2" location="'Inputs &amp; Summary'!A1" display="Back to summary" xr:uid="{00000000-0004-0000-0500-000000000000}"/>
  </hyperlinks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57"/>
  <sheetViews>
    <sheetView topLeftCell="A19" workbookViewId="0">
      <selection activeCell="L18" sqref="L18"/>
    </sheetView>
  </sheetViews>
  <sheetFormatPr defaultRowHeight="15" x14ac:dyDescent="0.25"/>
  <cols>
    <col min="1" max="1" width="34" customWidth="1"/>
    <col min="2" max="2" width="16" customWidth="1"/>
    <col min="3" max="4" width="3" customWidth="1"/>
    <col min="5" max="9" width="14" customWidth="1"/>
  </cols>
  <sheetData>
    <row r="1" spans="1:28" ht="15.75" x14ac:dyDescent="0.25">
      <c r="A1" s="29"/>
      <c r="B1" s="28"/>
      <c r="C1" s="28"/>
      <c r="D1" s="28"/>
      <c r="E1" s="28"/>
      <c r="F1" s="28"/>
      <c r="G1" s="28"/>
      <c r="H1" s="28"/>
      <c r="I1" s="28"/>
    </row>
    <row r="2" spans="1:28" ht="15.75" x14ac:dyDescent="0.25">
      <c r="A2" s="21" t="s">
        <v>74</v>
      </c>
      <c r="I2" s="6" t="s">
        <v>44</v>
      </c>
    </row>
    <row r="4" spans="1:28" ht="15.75" x14ac:dyDescent="0.25">
      <c r="A4" s="1" t="s">
        <v>45</v>
      </c>
      <c r="E4" s="1" t="s">
        <v>46</v>
      </c>
    </row>
    <row r="5" spans="1:28" ht="15.75" x14ac:dyDescent="0.25">
      <c r="A5" s="2" t="s">
        <v>3</v>
      </c>
      <c r="B5" s="8">
        <f>B14+B6/B8</f>
        <v>0.84375</v>
      </c>
      <c r="E5" s="22" t="s">
        <v>47</v>
      </c>
      <c r="F5" s="22" t="s">
        <v>48</v>
      </c>
      <c r="G5" s="22" t="s">
        <v>49</v>
      </c>
      <c r="H5" s="22" t="s">
        <v>50</v>
      </c>
    </row>
    <row r="6" spans="1:28" ht="31.5" x14ac:dyDescent="0.25">
      <c r="A6" s="2" t="s">
        <v>12</v>
      </c>
      <c r="B6" s="11">
        <f>'Inputs &amp; Summary'!B5</f>
        <v>420000</v>
      </c>
      <c r="E6" s="23">
        <v>0</v>
      </c>
      <c r="F6" s="24">
        <f>B5*E6</f>
        <v>0</v>
      </c>
      <c r="G6" s="24">
        <f>B6+B14*E6</f>
        <v>420000</v>
      </c>
      <c r="H6" s="24" t="e">
        <f>NA()</f>
        <v>#N/A</v>
      </c>
      <c r="O6" s="30" t="s">
        <v>156</v>
      </c>
    </row>
    <row r="7" spans="1:28" x14ac:dyDescent="0.25">
      <c r="A7" s="2" t="s">
        <v>51</v>
      </c>
      <c r="B7" s="9">
        <f>'Inputs &amp; Summary'!B6</f>
        <v>3000000</v>
      </c>
      <c r="E7" s="23">
        <f>IF(ISNA(B16),B8,B16)</f>
        <v>2400000.0000000009</v>
      </c>
      <c r="F7" s="24">
        <f>B5*E7</f>
        <v>2025000.0000000007</v>
      </c>
      <c r="G7" s="24">
        <f>B6+B14*E7</f>
        <v>2025000.0000000007</v>
      </c>
      <c r="H7" s="24">
        <f>IF(ISNA(B16),NA(),B6+B14*B16)</f>
        <v>2025000.0000000007</v>
      </c>
    </row>
    <row r="8" spans="1:28" x14ac:dyDescent="0.25">
      <c r="A8" s="2" t="s">
        <v>52</v>
      </c>
      <c r="B8" s="9">
        <f>'Inputs &amp; Summary'!B22</f>
        <v>2400000</v>
      </c>
      <c r="E8" s="23">
        <f>B7</f>
        <v>3000000</v>
      </c>
      <c r="F8" s="24">
        <f>B5*E8</f>
        <v>2531250</v>
      </c>
      <c r="G8" s="24">
        <f>B6+B14*E8</f>
        <v>2426250</v>
      </c>
      <c r="H8" s="24" t="e">
        <f>NA()</f>
        <v>#N/A</v>
      </c>
      <c r="O8" t="s">
        <v>157</v>
      </c>
    </row>
    <row r="9" spans="1:28" x14ac:dyDescent="0.25">
      <c r="A9" s="2" t="s">
        <v>53</v>
      </c>
      <c r="B9" s="25">
        <f>'Inputs &amp; Summary'!B11</f>
        <v>1.875</v>
      </c>
    </row>
    <row r="10" spans="1:28" ht="23.25" x14ac:dyDescent="0.25">
      <c r="A10" s="2" t="s">
        <v>54</v>
      </c>
      <c r="B10" s="8">
        <f>'Inputs &amp; Summary'!B12*B9</f>
        <v>0.28125</v>
      </c>
      <c r="O10" s="31" t="s">
        <v>158</v>
      </c>
    </row>
    <row r="11" spans="1:28" x14ac:dyDescent="0.25">
      <c r="A11" s="2" t="s">
        <v>55</v>
      </c>
      <c r="B11" s="8">
        <f>'Inputs &amp; Summary'!B13*B9</f>
        <v>0.1875</v>
      </c>
    </row>
    <row r="12" spans="1:28" ht="18.75" x14ac:dyDescent="0.3">
      <c r="A12" s="2" t="s">
        <v>56</v>
      </c>
      <c r="B12" s="8">
        <f>'Inputs &amp; Summary'!B14</f>
        <v>0.15</v>
      </c>
      <c r="O12" s="39" t="s">
        <v>165</v>
      </c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</row>
    <row r="13" spans="1:28" ht="18.75" x14ac:dyDescent="0.3">
      <c r="A13" s="2" t="s">
        <v>57</v>
      </c>
      <c r="B13" s="8">
        <f>'Inputs &amp; Summary'!B15</f>
        <v>0.05</v>
      </c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</row>
    <row r="14" spans="1:28" ht="18.75" x14ac:dyDescent="0.3">
      <c r="A14" s="2" t="s">
        <v>58</v>
      </c>
      <c r="B14" s="8">
        <f>SUM(B10:B13)</f>
        <v>0.66875000000000007</v>
      </c>
      <c r="O14" s="39" t="s">
        <v>166</v>
      </c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</row>
    <row r="15" spans="1:28" ht="18.75" x14ac:dyDescent="0.3">
      <c r="A15" s="2" t="s">
        <v>59</v>
      </c>
      <c r="B15" s="8">
        <f>B5-B14</f>
        <v>0.17499999999999993</v>
      </c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</row>
    <row r="16" spans="1:28" ht="18.75" x14ac:dyDescent="0.3">
      <c r="A16" s="2" t="s">
        <v>60</v>
      </c>
      <c r="B16" s="9">
        <f>IF(B15&lt;=0,NA(),B6/B15)</f>
        <v>2400000.0000000009</v>
      </c>
      <c r="O16" s="39" t="s">
        <v>159</v>
      </c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</row>
    <row r="17" spans="1:28" ht="18.75" x14ac:dyDescent="0.3">
      <c r="A17" s="2" t="s">
        <v>61</v>
      </c>
      <c r="B17" s="10">
        <f>IFERROR(B16/B7,NA())</f>
        <v>0.80000000000000027</v>
      </c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</row>
    <row r="18" spans="1:28" ht="18.75" x14ac:dyDescent="0.3">
      <c r="A18" s="2" t="s">
        <v>62</v>
      </c>
      <c r="B18" s="11">
        <f>B5*B8</f>
        <v>2025000</v>
      </c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</row>
    <row r="19" spans="1:28" ht="18.75" x14ac:dyDescent="0.3">
      <c r="A19" s="2" t="s">
        <v>63</v>
      </c>
      <c r="B19" s="11">
        <f>B14*B8</f>
        <v>1605000.0000000002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</row>
    <row r="20" spans="1:28" ht="18.75" x14ac:dyDescent="0.3">
      <c r="A20" s="2" t="s">
        <v>64</v>
      </c>
      <c r="B20" s="11">
        <f>B6+B19</f>
        <v>2025000.0000000002</v>
      </c>
      <c r="O20" s="41" t="s">
        <v>160</v>
      </c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</row>
    <row r="21" spans="1:28" ht="18.75" x14ac:dyDescent="0.3">
      <c r="A21" s="2" t="s">
        <v>65</v>
      </c>
      <c r="B21" s="11">
        <f>B18-B20</f>
        <v>0</v>
      </c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</row>
    <row r="22" spans="1:28" ht="18.75" x14ac:dyDescent="0.3">
      <c r="O22" s="39" t="s">
        <v>167</v>
      </c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</row>
    <row r="23" spans="1:28" ht="18.75" x14ac:dyDescent="0.3"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</row>
    <row r="24" spans="1:28" ht="18.75" x14ac:dyDescent="0.3">
      <c r="O24" s="41" t="s">
        <v>124</v>
      </c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</row>
    <row r="25" spans="1:28" ht="18.75" x14ac:dyDescent="0.3"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</row>
    <row r="26" spans="1:28" ht="18.75" x14ac:dyDescent="0.3">
      <c r="O26" s="39" t="s">
        <v>168</v>
      </c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</row>
    <row r="27" spans="1:28" ht="18.75" x14ac:dyDescent="0.3"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</row>
    <row r="28" spans="1:28" ht="18.75" x14ac:dyDescent="0.3">
      <c r="O28" s="41" t="s">
        <v>125</v>
      </c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</row>
    <row r="29" spans="1:28" ht="18.75" x14ac:dyDescent="0.3"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</row>
    <row r="30" spans="1:28" ht="18.75" x14ac:dyDescent="0.3">
      <c r="O30" s="39" t="s">
        <v>169</v>
      </c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</row>
    <row r="31" spans="1:28" ht="18.75" x14ac:dyDescent="0.3"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</row>
    <row r="32" spans="1:28" ht="18.75" x14ac:dyDescent="0.3">
      <c r="O32" s="39" t="s">
        <v>173</v>
      </c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</row>
    <row r="33" spans="15:28" ht="18.75" x14ac:dyDescent="0.3"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</row>
    <row r="34" spans="15:28" ht="18.75" x14ac:dyDescent="0.3"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</row>
    <row r="35" spans="15:28" ht="18.75" x14ac:dyDescent="0.3"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</row>
    <row r="36" spans="15:28" ht="18.75" x14ac:dyDescent="0.3">
      <c r="O36" s="41" t="s">
        <v>161</v>
      </c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</row>
    <row r="37" spans="15:28" ht="18.75" x14ac:dyDescent="0.3"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</row>
    <row r="38" spans="15:28" ht="18.75" x14ac:dyDescent="0.3">
      <c r="O38" s="39" t="s">
        <v>170</v>
      </c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</row>
    <row r="39" spans="15:28" ht="18.75" x14ac:dyDescent="0.3"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</row>
    <row r="40" spans="15:28" ht="18.75" x14ac:dyDescent="0.3">
      <c r="O40" s="41" t="s">
        <v>124</v>
      </c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</row>
    <row r="41" spans="15:28" ht="18.75" x14ac:dyDescent="0.3"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</row>
    <row r="42" spans="15:28" ht="18.75" x14ac:dyDescent="0.3">
      <c r="O42" s="39" t="s">
        <v>171</v>
      </c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</row>
    <row r="43" spans="15:28" ht="18.75" x14ac:dyDescent="0.3"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</row>
    <row r="44" spans="15:28" ht="18.75" x14ac:dyDescent="0.3">
      <c r="O44" s="41" t="s">
        <v>125</v>
      </c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</row>
    <row r="45" spans="15:28" ht="18.75" x14ac:dyDescent="0.3"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</row>
    <row r="46" spans="15:28" ht="18.75" x14ac:dyDescent="0.3">
      <c r="O46" s="39" t="s">
        <v>172</v>
      </c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</row>
    <row r="47" spans="15:28" ht="18.75" x14ac:dyDescent="0.3"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</row>
    <row r="48" spans="15:28" ht="18.75" x14ac:dyDescent="0.3">
      <c r="O48" s="41" t="s">
        <v>149</v>
      </c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</row>
    <row r="49" spans="15:28" ht="18.75" x14ac:dyDescent="0.3"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</row>
    <row r="50" spans="15:28" ht="18.75" x14ac:dyDescent="0.3">
      <c r="O50" s="39" t="s">
        <v>162</v>
      </c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</row>
    <row r="51" spans="15:28" ht="18.75" x14ac:dyDescent="0.3">
      <c r="O51" s="42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</row>
    <row r="52" spans="15:28" ht="18.75" x14ac:dyDescent="0.3">
      <c r="O52" s="42" t="s">
        <v>163</v>
      </c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</row>
    <row r="53" spans="15:28" ht="18.75" x14ac:dyDescent="0.3">
      <c r="O53" s="42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</row>
    <row r="54" spans="15:28" ht="18.75" x14ac:dyDescent="0.3">
      <c r="O54" s="42" t="s">
        <v>164</v>
      </c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</row>
    <row r="55" spans="15:28" ht="18.75" x14ac:dyDescent="0.3">
      <c r="O55" s="42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</row>
    <row r="56" spans="15:28" ht="18.75" x14ac:dyDescent="0.3">
      <c r="O56" s="42" t="s">
        <v>174</v>
      </c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</row>
    <row r="57" spans="15:28" ht="18.75" x14ac:dyDescent="0.3"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</row>
  </sheetData>
  <mergeCells count="1">
    <mergeCell ref="A1:I1"/>
  </mergeCells>
  <hyperlinks>
    <hyperlink ref="I2" location="'Inputs &amp; Summary'!A1" display="Back to summary" xr:uid="{00000000-0004-0000-0600-000000000000}"/>
  </hyperlinks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1"/>
  <sheetViews>
    <sheetView workbookViewId="0">
      <selection sqref="A1:I1"/>
    </sheetView>
  </sheetViews>
  <sheetFormatPr defaultRowHeight="15" x14ac:dyDescent="0.25"/>
  <cols>
    <col min="1" max="1" width="34" customWidth="1"/>
    <col min="2" max="2" width="16" customWidth="1"/>
    <col min="3" max="4" width="3" customWidth="1"/>
    <col min="5" max="9" width="14" customWidth="1"/>
  </cols>
  <sheetData>
    <row r="1" spans="1:9" ht="15.75" x14ac:dyDescent="0.25">
      <c r="A1" s="29" t="s">
        <v>75</v>
      </c>
      <c r="B1" s="28"/>
      <c r="C1" s="28"/>
      <c r="D1" s="28"/>
      <c r="E1" s="28"/>
      <c r="F1" s="28"/>
      <c r="G1" s="28"/>
      <c r="H1" s="28"/>
      <c r="I1" s="28"/>
    </row>
    <row r="2" spans="1:9" ht="15.75" x14ac:dyDescent="0.25">
      <c r="A2" s="21" t="s">
        <v>76</v>
      </c>
      <c r="I2" s="6" t="s">
        <v>44</v>
      </c>
    </row>
    <row r="4" spans="1:9" ht="15.75" x14ac:dyDescent="0.25">
      <c r="A4" s="1" t="s">
        <v>45</v>
      </c>
      <c r="E4" s="1" t="s">
        <v>46</v>
      </c>
    </row>
    <row r="5" spans="1:9" ht="15.75" x14ac:dyDescent="0.25">
      <c r="A5" s="2" t="s">
        <v>3</v>
      </c>
      <c r="B5" s="8">
        <f>B14+B6/B8</f>
        <v>0.95874999999999999</v>
      </c>
      <c r="E5" s="22" t="s">
        <v>47</v>
      </c>
      <c r="F5" s="22" t="s">
        <v>48</v>
      </c>
      <c r="G5" s="22" t="s">
        <v>49</v>
      </c>
      <c r="H5" s="22" t="s">
        <v>50</v>
      </c>
    </row>
    <row r="6" spans="1:9" x14ac:dyDescent="0.25">
      <c r="A6" s="2" t="s">
        <v>12</v>
      </c>
      <c r="B6" s="11">
        <f>'Inputs &amp; Summary'!B5</f>
        <v>420000</v>
      </c>
      <c r="E6" s="23">
        <v>0</v>
      </c>
      <c r="F6" s="24">
        <f>B5*E6</f>
        <v>0</v>
      </c>
      <c r="G6" s="24">
        <f>B6+B14*E6</f>
        <v>420000</v>
      </c>
      <c r="H6" s="24" t="e">
        <f>NA()</f>
        <v>#N/A</v>
      </c>
    </row>
    <row r="7" spans="1:9" x14ac:dyDescent="0.25">
      <c r="A7" s="2" t="s">
        <v>51</v>
      </c>
      <c r="B7" s="9">
        <f>'Inputs &amp; Summary'!B6</f>
        <v>3000000</v>
      </c>
      <c r="E7" s="23">
        <f>IF(ISNA(B16),B8,B16)</f>
        <v>2399999.9999999995</v>
      </c>
      <c r="F7" s="24">
        <f>B5*E7</f>
        <v>2300999.9999999995</v>
      </c>
      <c r="G7" s="24">
        <f>B6+B14*E7</f>
        <v>2300999.9999999995</v>
      </c>
      <c r="H7" s="24">
        <f>IF(ISNA(B16),NA(),B6+B14*B16)</f>
        <v>2300999.9999999995</v>
      </c>
    </row>
    <row r="8" spans="1:9" x14ac:dyDescent="0.25">
      <c r="A8" s="2" t="s">
        <v>52</v>
      </c>
      <c r="B8" s="9">
        <f>'Inputs &amp; Summary'!B22</f>
        <v>2400000</v>
      </c>
      <c r="E8" s="23">
        <f>B7</f>
        <v>3000000</v>
      </c>
      <c r="F8" s="24">
        <f>B5*E8</f>
        <v>2876250</v>
      </c>
      <c r="G8" s="24">
        <f>B6+B14*E8</f>
        <v>2771250</v>
      </c>
      <c r="H8" s="24" t="e">
        <f>NA()</f>
        <v>#N/A</v>
      </c>
    </row>
    <row r="9" spans="1:9" x14ac:dyDescent="0.25">
      <c r="A9" s="2" t="s">
        <v>53</v>
      </c>
      <c r="B9" s="25">
        <f>'Inputs &amp; Summary'!B11</f>
        <v>1.875</v>
      </c>
    </row>
    <row r="10" spans="1:9" x14ac:dyDescent="0.25">
      <c r="A10" s="2" t="s">
        <v>54</v>
      </c>
      <c r="B10" s="8">
        <f>'Inputs &amp; Summary'!B12*B9</f>
        <v>0.28125</v>
      </c>
    </row>
    <row r="11" spans="1:9" x14ac:dyDescent="0.25">
      <c r="A11" s="2" t="s">
        <v>55</v>
      </c>
      <c r="B11" s="8">
        <f>'Inputs &amp; Summary'!B13*B9</f>
        <v>0.1875</v>
      </c>
    </row>
    <row r="12" spans="1:9" x14ac:dyDescent="0.25">
      <c r="A12" s="2" t="s">
        <v>56</v>
      </c>
      <c r="B12" s="8">
        <f>'Inputs &amp; Summary'!B14*(1+'Inputs &amp; Summary'!B19)</f>
        <v>0.255</v>
      </c>
    </row>
    <row r="13" spans="1:9" x14ac:dyDescent="0.25">
      <c r="A13" s="2" t="s">
        <v>57</v>
      </c>
      <c r="B13" s="8">
        <f>'Inputs &amp; Summary'!B15*(1+'Inputs &amp; Summary'!B20)</f>
        <v>0.06</v>
      </c>
    </row>
    <row r="14" spans="1:9" x14ac:dyDescent="0.25">
      <c r="A14" s="2" t="s">
        <v>58</v>
      </c>
      <c r="B14" s="8">
        <f>SUM(B10:B13)</f>
        <v>0.78374999999999995</v>
      </c>
    </row>
    <row r="15" spans="1:9" x14ac:dyDescent="0.25">
      <c r="A15" s="2" t="s">
        <v>59</v>
      </c>
      <c r="B15" s="8">
        <f>B5-B14</f>
        <v>0.17500000000000004</v>
      </c>
    </row>
    <row r="16" spans="1:9" x14ac:dyDescent="0.25">
      <c r="A16" s="2" t="s">
        <v>60</v>
      </c>
      <c r="B16" s="9">
        <f>IF(B15&lt;=0,NA(),B6/B15)</f>
        <v>2399999.9999999995</v>
      </c>
    </row>
    <row r="17" spans="1:2" x14ac:dyDescent="0.25">
      <c r="A17" s="2" t="s">
        <v>61</v>
      </c>
      <c r="B17" s="10">
        <f>IFERROR(B16/B7,NA())</f>
        <v>0.79999999999999982</v>
      </c>
    </row>
    <row r="18" spans="1:2" x14ac:dyDescent="0.25">
      <c r="A18" s="2" t="s">
        <v>62</v>
      </c>
      <c r="B18" s="11">
        <f>B5*B8</f>
        <v>2301000</v>
      </c>
    </row>
    <row r="19" spans="1:2" x14ac:dyDescent="0.25">
      <c r="A19" s="2" t="s">
        <v>63</v>
      </c>
      <c r="B19" s="11">
        <f>B14*B8</f>
        <v>1880999.9999999998</v>
      </c>
    </row>
    <row r="20" spans="1:2" x14ac:dyDescent="0.25">
      <c r="A20" s="2" t="s">
        <v>64</v>
      </c>
      <c r="B20" s="11">
        <f>B6+B19</f>
        <v>2301000</v>
      </c>
    </row>
    <row r="21" spans="1:2" x14ac:dyDescent="0.25">
      <c r="A21" s="2" t="s">
        <v>65</v>
      </c>
      <c r="B21" s="11">
        <f>B18-B20</f>
        <v>0</v>
      </c>
    </row>
  </sheetData>
  <mergeCells count="1">
    <mergeCell ref="A1:I1"/>
  </mergeCells>
  <hyperlinks>
    <hyperlink ref="I2" location="'Inputs &amp; Summary'!A1" display="Back to summary" xr:uid="{00000000-0004-0000-0700-000000000000}"/>
  </hyperlinks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77"/>
  <sheetViews>
    <sheetView topLeftCell="A34" workbookViewId="0">
      <selection activeCell="U71" sqref="U71"/>
    </sheetView>
  </sheetViews>
  <sheetFormatPr defaultRowHeight="15" x14ac:dyDescent="0.25"/>
  <cols>
    <col min="1" max="1" width="34" customWidth="1"/>
    <col min="2" max="2" width="16" customWidth="1"/>
    <col min="3" max="4" width="3" customWidth="1"/>
    <col min="5" max="9" width="14" customWidth="1"/>
  </cols>
  <sheetData>
    <row r="1" spans="1:15" ht="15.75" x14ac:dyDescent="0.25">
      <c r="A1" s="29" t="s">
        <v>77</v>
      </c>
      <c r="B1" s="28"/>
      <c r="C1" s="28"/>
      <c r="D1" s="28"/>
      <c r="E1" s="28"/>
      <c r="F1" s="28"/>
      <c r="G1" s="28"/>
      <c r="H1" s="28"/>
      <c r="I1" s="28"/>
    </row>
    <row r="2" spans="1:15" ht="15.75" x14ac:dyDescent="0.25">
      <c r="A2" s="21" t="s">
        <v>78</v>
      </c>
      <c r="I2" s="6" t="s">
        <v>44</v>
      </c>
    </row>
    <row r="4" spans="1:15" ht="15.75" x14ac:dyDescent="0.25">
      <c r="A4" s="1" t="s">
        <v>45</v>
      </c>
      <c r="E4" s="1" t="s">
        <v>46</v>
      </c>
    </row>
    <row r="5" spans="1:15" ht="15.75" x14ac:dyDescent="0.25">
      <c r="A5" s="2" t="s">
        <v>3</v>
      </c>
      <c r="B5" s="8">
        <f>'Inputs &amp; Summary'!B23</f>
        <v>0.75</v>
      </c>
      <c r="E5" s="22" t="s">
        <v>47</v>
      </c>
      <c r="F5" s="22" t="s">
        <v>48</v>
      </c>
      <c r="G5" s="22" t="s">
        <v>49</v>
      </c>
      <c r="H5" s="22" t="s">
        <v>50</v>
      </c>
    </row>
    <row r="6" spans="1:15" x14ac:dyDescent="0.25">
      <c r="A6" s="2" t="s">
        <v>12</v>
      </c>
      <c r="B6" s="11">
        <f>'Inputs &amp; Summary'!B5</f>
        <v>420000</v>
      </c>
      <c r="E6" s="23">
        <v>0</v>
      </c>
      <c r="F6" s="24">
        <f>B5*E6</f>
        <v>0</v>
      </c>
      <c r="G6" s="24">
        <f>B6+B14*E6</f>
        <v>420000</v>
      </c>
      <c r="H6" s="24" t="e">
        <f>NA()</f>
        <v>#N/A</v>
      </c>
    </row>
    <row r="7" spans="1:15" x14ac:dyDescent="0.25">
      <c r="A7" s="2" t="s">
        <v>51</v>
      </c>
      <c r="B7" s="9">
        <f>'Inputs &amp; Summary'!B6</f>
        <v>3000000</v>
      </c>
      <c r="E7" s="23">
        <f>IF(ISNA(B16),B8,B16)</f>
        <v>1400000</v>
      </c>
      <c r="F7" s="24">
        <f>B5*E7</f>
        <v>1050000</v>
      </c>
      <c r="G7" s="24">
        <f>B6+B14*E7</f>
        <v>1050000</v>
      </c>
      <c r="H7" s="24">
        <f>IF(ISNA(B16),NA(),B6+B14*B16)</f>
        <v>1050000</v>
      </c>
    </row>
    <row r="8" spans="1:15" x14ac:dyDescent="0.25">
      <c r="A8" s="2" t="s">
        <v>52</v>
      </c>
      <c r="B8" s="9">
        <f>'Inputs &amp; Summary'!B6</f>
        <v>3000000</v>
      </c>
      <c r="E8" s="23">
        <f>B7</f>
        <v>3000000</v>
      </c>
      <c r="F8" s="24">
        <f>B5*E8</f>
        <v>2250000</v>
      </c>
      <c r="G8" s="24">
        <f>B6+B14*E8</f>
        <v>1770000</v>
      </c>
      <c r="H8" s="24" t="e">
        <f>NA()</f>
        <v>#N/A</v>
      </c>
    </row>
    <row r="9" spans="1:15" ht="31.5" x14ac:dyDescent="0.25">
      <c r="A9" s="2" t="s">
        <v>53</v>
      </c>
      <c r="B9" s="25">
        <f>IF('Inputs &amp; Summary'!B24=1,1,'Inputs &amp; Summary'!B11)</f>
        <v>1</v>
      </c>
      <c r="O9" s="30" t="s">
        <v>175</v>
      </c>
    </row>
    <row r="10" spans="1:15" x14ac:dyDescent="0.25">
      <c r="A10" s="2" t="s">
        <v>54</v>
      </c>
      <c r="B10" s="8">
        <f>'Inputs &amp; Summary'!B12*IF('Inputs &amp; Summary'!B24=1,1,'Inputs &amp; Summary'!B11)</f>
        <v>0.15</v>
      </c>
    </row>
    <row r="11" spans="1:15" x14ac:dyDescent="0.25">
      <c r="A11" s="2" t="s">
        <v>55</v>
      </c>
      <c r="B11" s="8">
        <f>'Inputs &amp; Summary'!B13*IF('Inputs &amp; Summary'!B25=1,1,'Inputs &amp; Summary'!B11)</f>
        <v>0.1</v>
      </c>
      <c r="O11" t="s">
        <v>176</v>
      </c>
    </row>
    <row r="12" spans="1:15" x14ac:dyDescent="0.25">
      <c r="A12" s="2" t="s">
        <v>56</v>
      </c>
      <c r="B12" s="8">
        <f>'Inputs &amp; Summary'!B14</f>
        <v>0.15</v>
      </c>
    </row>
    <row r="13" spans="1:15" ht="23.25" x14ac:dyDescent="0.25">
      <c r="A13" s="2" t="s">
        <v>57</v>
      </c>
      <c r="B13" s="8">
        <f>'Inputs &amp; Summary'!B15</f>
        <v>0.05</v>
      </c>
      <c r="O13" s="31" t="s">
        <v>177</v>
      </c>
    </row>
    <row r="14" spans="1:15" x14ac:dyDescent="0.25">
      <c r="A14" s="2" t="s">
        <v>58</v>
      </c>
      <c r="B14" s="8">
        <f>SUM(B10:B13)</f>
        <v>0.45</v>
      </c>
    </row>
    <row r="15" spans="1:15" x14ac:dyDescent="0.25">
      <c r="A15" s="2" t="s">
        <v>59</v>
      </c>
      <c r="B15" s="8">
        <f>B5-B14</f>
        <v>0.3</v>
      </c>
      <c r="O15" t="s">
        <v>178</v>
      </c>
    </row>
    <row r="16" spans="1:15" x14ac:dyDescent="0.25">
      <c r="A16" s="2" t="s">
        <v>60</v>
      </c>
      <c r="B16" s="9">
        <f>IF(B15&lt;=0,NA(),B6/B15)</f>
        <v>1400000</v>
      </c>
      <c r="O16" s="33"/>
    </row>
    <row r="17" spans="1:15" x14ac:dyDescent="0.25">
      <c r="A17" s="2" t="s">
        <v>61</v>
      </c>
      <c r="B17" s="10">
        <f>IFERROR(B16/B7,NA())</f>
        <v>0.46666666666666667</v>
      </c>
      <c r="O17" s="33" t="s">
        <v>179</v>
      </c>
    </row>
    <row r="18" spans="1:15" x14ac:dyDescent="0.25">
      <c r="A18" s="2" t="s">
        <v>62</v>
      </c>
      <c r="B18" s="11">
        <f>B5*B8</f>
        <v>2250000</v>
      </c>
      <c r="O18" s="33"/>
    </row>
    <row r="19" spans="1:15" x14ac:dyDescent="0.25">
      <c r="A19" s="2" t="s">
        <v>63</v>
      </c>
      <c r="B19" s="11">
        <f>B14*B8</f>
        <v>1350000</v>
      </c>
      <c r="O19" s="33" t="s">
        <v>180</v>
      </c>
    </row>
    <row r="20" spans="1:15" x14ac:dyDescent="0.25">
      <c r="A20" s="2" t="s">
        <v>64</v>
      </c>
      <c r="B20" s="11">
        <f>B6+B19</f>
        <v>1770000</v>
      </c>
      <c r="O20" s="33"/>
    </row>
    <row r="21" spans="1:15" x14ac:dyDescent="0.25">
      <c r="A21" s="2" t="s">
        <v>65</v>
      </c>
      <c r="B21" s="11">
        <f>B18-B20</f>
        <v>480000</v>
      </c>
      <c r="O21" s="33" t="s">
        <v>181</v>
      </c>
    </row>
    <row r="22" spans="1:15" x14ac:dyDescent="0.25">
      <c r="O22" s="33"/>
    </row>
    <row r="23" spans="1:15" x14ac:dyDescent="0.25">
      <c r="O23" s="33"/>
    </row>
    <row r="24" spans="1:15" x14ac:dyDescent="0.25">
      <c r="O24" s="36"/>
    </row>
    <row r="25" spans="1:15" x14ac:dyDescent="0.25">
      <c r="O25" s="36" t="s">
        <v>182</v>
      </c>
    </row>
    <row r="26" spans="1:15" x14ac:dyDescent="0.25">
      <c r="O26" s="36"/>
    </row>
    <row r="27" spans="1:15" x14ac:dyDescent="0.25">
      <c r="O27" s="36" t="s">
        <v>183</v>
      </c>
    </row>
    <row r="31" spans="1:15" ht="23.25" x14ac:dyDescent="0.25">
      <c r="O31" s="31" t="s">
        <v>184</v>
      </c>
    </row>
    <row r="33" spans="15:18" ht="18.75" x14ac:dyDescent="0.3">
      <c r="O33" s="38" t="s">
        <v>186</v>
      </c>
      <c r="P33" s="38"/>
      <c r="Q33" s="38"/>
      <c r="R33" s="38"/>
    </row>
    <row r="35" spans="15:18" ht="23.25" x14ac:dyDescent="0.25">
      <c r="O35" s="31" t="s">
        <v>185</v>
      </c>
    </row>
    <row r="37" spans="15:18" ht="18.75" x14ac:dyDescent="0.3">
      <c r="O37" s="38" t="s">
        <v>187</v>
      </c>
      <c r="P37" s="38"/>
      <c r="Q37" s="38"/>
      <c r="R37" s="38"/>
    </row>
    <row r="40" spans="15:18" ht="23.25" x14ac:dyDescent="0.25">
      <c r="O40" s="31" t="s">
        <v>188</v>
      </c>
    </row>
    <row r="42" spans="15:18" x14ac:dyDescent="0.25">
      <c r="O42" t="s">
        <v>197</v>
      </c>
    </row>
    <row r="44" spans="15:18" ht="18" x14ac:dyDescent="0.25">
      <c r="O44" s="32"/>
    </row>
    <row r="48" spans="15:18" ht="18" x14ac:dyDescent="0.25">
      <c r="O48" s="32" t="s">
        <v>125</v>
      </c>
    </row>
    <row r="53" spans="15:15" ht="23.25" x14ac:dyDescent="0.25">
      <c r="O53" s="31" t="s">
        <v>189</v>
      </c>
    </row>
    <row r="55" spans="15:15" ht="18" x14ac:dyDescent="0.25">
      <c r="O55" s="32"/>
    </row>
    <row r="59" spans="15:15" ht="18" x14ac:dyDescent="0.25">
      <c r="O59" s="32"/>
    </row>
    <row r="63" spans="15:15" ht="18" x14ac:dyDescent="0.25">
      <c r="O63" s="32" t="s">
        <v>149</v>
      </c>
    </row>
    <row r="65" spans="15:15" x14ac:dyDescent="0.25">
      <c r="O65" t="s">
        <v>190</v>
      </c>
    </row>
    <row r="66" spans="15:15" x14ac:dyDescent="0.25">
      <c r="O66" s="33"/>
    </row>
    <row r="67" spans="15:15" x14ac:dyDescent="0.25">
      <c r="O67" s="33" t="s">
        <v>191</v>
      </c>
    </row>
    <row r="68" spans="15:15" x14ac:dyDescent="0.25">
      <c r="O68" s="33"/>
    </row>
    <row r="69" spans="15:15" x14ac:dyDescent="0.25">
      <c r="O69" s="33" t="s">
        <v>192</v>
      </c>
    </row>
    <row r="70" spans="15:15" x14ac:dyDescent="0.25">
      <c r="O70" s="33"/>
    </row>
    <row r="71" spans="15:15" x14ac:dyDescent="0.25">
      <c r="O71" s="33" t="s">
        <v>193</v>
      </c>
    </row>
    <row r="72" spans="15:15" x14ac:dyDescent="0.25">
      <c r="O72" s="33"/>
    </row>
    <row r="73" spans="15:15" x14ac:dyDescent="0.25">
      <c r="O73" s="33" t="s">
        <v>194</v>
      </c>
    </row>
    <row r="74" spans="15:15" x14ac:dyDescent="0.25">
      <c r="O74" s="33"/>
    </row>
    <row r="75" spans="15:15" x14ac:dyDescent="0.25">
      <c r="O75" s="33" t="s">
        <v>195</v>
      </c>
    </row>
    <row r="77" spans="15:15" x14ac:dyDescent="0.25">
      <c r="O77" t="s">
        <v>196</v>
      </c>
    </row>
  </sheetData>
  <mergeCells count="1">
    <mergeCell ref="A1:I1"/>
  </mergeCells>
  <hyperlinks>
    <hyperlink ref="I2" location="'Inputs &amp; Summary'!A1" display="Back to summary" xr:uid="{00000000-0004-0000-0800-000000000000}"/>
  </hyperlink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Inputs &amp; Summary</vt:lpstr>
      <vt:lpstr>Base</vt:lpstr>
      <vt:lpstr>Σεν.Α' με αύξηση ενέργειας </vt:lpstr>
      <vt:lpstr>Σεν.Β' με αύξηση όλων</vt:lpstr>
      <vt:lpstr>Τιμ. Πολ.Ι</vt:lpstr>
      <vt:lpstr>Τιμ.Πολ.ΙΙ</vt:lpstr>
      <vt:lpstr>Τιμ.Πολ.ΙΙΙ</vt:lpstr>
      <vt:lpstr>Τιμ.Πολ.ΙV</vt:lpstr>
      <vt:lpstr>Συμφ με ΣΜ Ι</vt:lpstr>
      <vt:lpstr>Συμφ με ΣΜ ΙΙ</vt:lpstr>
      <vt:lpstr>Sources</vt:lpstr>
    </vt:vector>
  </TitlesOfParts>
  <Company>UNIPI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DIMITRIOS KAMPIS</dc:creator>
  <cp:lastModifiedBy>DIMITRIOS KAMPIS</cp:lastModifiedBy>
  <dcterms:created xsi:type="dcterms:W3CDTF">2026-03-20T00:48:43Z</dcterms:created>
  <dcterms:modified xsi:type="dcterms:W3CDTF">2026-03-20T02:32:03Z</dcterms:modified>
</cp:coreProperties>
</file>