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g\Dropbox\UNIPI\Courses\UNIPI\Master\EnergyFinancing\Presentations\Dagoumas\"/>
    </mc:Choice>
  </mc:AlternateContent>
  <bookViews>
    <workbookView xWindow="240" yWindow="240" windowWidth="24240" windowHeight="13740" firstSheet="1" activeTab="2"/>
  </bookViews>
  <sheets>
    <sheet name="RiskSerializationData" sheetId="8" state="hidden" r:id="rId1"/>
    <sheet name="Input" sheetId="5" r:id="rId2"/>
    <sheet name="Project IRR" sheetId="6" r:id="rId3"/>
    <sheet name="Sheet2" sheetId="2" r:id="rId4"/>
    <sheet name="Sheet3" sheetId="3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"QZGRNPUPR959A5PGX3YE949G"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"$U$25"</definedName>
    <definedName name="RiskSelectedNameCell1" hidden="1">"$A$25"</definedName>
    <definedName name="RiskSelectedNameCell2" hidden="1">"$U$2"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5" l="1"/>
  <c r="C12" i="5" s="1"/>
  <c r="C15" i="5"/>
  <c r="G19" i="6" l="1"/>
  <c r="G20" i="6"/>
  <c r="G22" i="6"/>
  <c r="G21" i="6"/>
  <c r="G23" i="6"/>
  <c r="B4" i="6" l="1"/>
  <c r="C4" i="6" s="1"/>
  <c r="X4" i="6"/>
  <c r="X5" i="6" s="1"/>
  <c r="X6" i="6" s="1"/>
  <c r="X7" i="6" s="1"/>
  <c r="X8" i="6" s="1"/>
  <c r="X9" i="6" s="1"/>
  <c r="X10" i="6" s="1"/>
  <c r="X11" i="6" s="1"/>
  <c r="X12" i="6" s="1"/>
  <c r="X13" i="6" s="1"/>
  <c r="X14" i="6" s="1"/>
  <c r="X15" i="6" s="1"/>
  <c r="X16" i="6" s="1"/>
  <c r="X17" i="6" s="1"/>
  <c r="X18" i="6" s="1"/>
  <c r="X19" i="6" s="1"/>
  <c r="X20" i="6" s="1"/>
  <c r="X21" i="6" s="1"/>
  <c r="X22" i="6" s="1"/>
  <c r="X23" i="6" s="1"/>
  <c r="C31" i="5"/>
  <c r="R4" i="6" s="1"/>
  <c r="R5" i="6" s="1"/>
  <c r="R6" i="6" s="1"/>
  <c r="R7" i="6" s="1"/>
  <c r="R8" i="6" s="1"/>
  <c r="R9" i="6" s="1"/>
  <c r="R10" i="6" s="1"/>
  <c r="R11" i="6" s="1"/>
  <c r="R12" i="6" s="1"/>
  <c r="R13" i="6" s="1"/>
  <c r="R14" i="6" s="1"/>
  <c r="R15" i="6" s="1"/>
  <c r="R16" i="6" s="1"/>
  <c r="R17" i="6" s="1"/>
  <c r="R18" i="6" s="1"/>
  <c r="R19" i="6" s="1"/>
  <c r="R20" i="6" s="1"/>
  <c r="R21" i="6" s="1"/>
  <c r="R22" i="6" s="1"/>
  <c r="R23" i="6" s="1"/>
  <c r="X25" i="6" l="1"/>
  <c r="B5" i="6"/>
  <c r="L12" i="6"/>
  <c r="L7" i="6"/>
  <c r="L9" i="6"/>
  <c r="L16" i="6"/>
  <c r="L21" i="6"/>
  <c r="L11" i="6"/>
  <c r="D17" i="6"/>
  <c r="D5" i="6"/>
  <c r="D11" i="6"/>
  <c r="D21" i="6"/>
  <c r="D13" i="6"/>
  <c r="D16" i="6"/>
  <c r="L22" i="6"/>
  <c r="D15" i="6"/>
  <c r="D8" i="6"/>
  <c r="O3" i="6"/>
  <c r="D19" i="6"/>
  <c r="E4" i="6"/>
  <c r="D12" i="6"/>
  <c r="D4" i="6"/>
  <c r="L14" i="6"/>
  <c r="D23" i="6"/>
  <c r="L10" i="6"/>
  <c r="D7" i="6"/>
  <c r="L13" i="6"/>
  <c r="L19" i="6"/>
  <c r="D22" i="6"/>
  <c r="L18" i="6"/>
  <c r="D6" i="6"/>
  <c r="L5" i="6"/>
  <c r="D18" i="6"/>
  <c r="D9" i="6"/>
  <c r="L17" i="6"/>
  <c r="L15" i="6"/>
  <c r="J3" i="6"/>
  <c r="G4" i="6" s="1"/>
  <c r="D10" i="6"/>
  <c r="L23" i="6"/>
  <c r="L4" i="6"/>
  <c r="L6" i="6"/>
  <c r="D20" i="6"/>
  <c r="L20" i="6"/>
  <c r="D14" i="6"/>
  <c r="L8" i="6"/>
  <c r="F4" i="6"/>
  <c r="E5" i="6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P3" i="6"/>
  <c r="I4" i="6"/>
  <c r="C5" i="6"/>
  <c r="B6" i="6"/>
  <c r="L25" i="6" l="1"/>
  <c r="D25" i="6"/>
  <c r="G11" i="6"/>
  <c r="G9" i="6"/>
  <c r="G7" i="6"/>
  <c r="G5" i="6"/>
  <c r="G25" i="6" s="1"/>
  <c r="G10" i="6"/>
  <c r="G12" i="6"/>
  <c r="G17" i="6"/>
  <c r="G15" i="6"/>
  <c r="G18" i="6"/>
  <c r="G8" i="6"/>
  <c r="G14" i="6"/>
  <c r="G16" i="6"/>
  <c r="G13" i="6"/>
  <c r="G6" i="6"/>
  <c r="F5" i="6"/>
  <c r="Y5" i="6" s="1"/>
  <c r="Y4" i="6"/>
  <c r="K4" i="6"/>
  <c r="E25" i="6"/>
  <c r="B7" i="6"/>
  <c r="C6" i="6"/>
  <c r="F6" i="6" s="1"/>
  <c r="Y6" i="6" s="1"/>
  <c r="H4" i="6"/>
  <c r="K5" i="6"/>
  <c r="S3" i="6"/>
  <c r="Q3" i="6"/>
  <c r="Z5" i="6" l="1"/>
  <c r="Z6" i="6"/>
  <c r="K6" i="6"/>
  <c r="T3" i="6"/>
  <c r="B8" i="6"/>
  <c r="C7" i="6"/>
  <c r="Z4" i="6"/>
  <c r="M4" i="6"/>
  <c r="J4" i="6"/>
  <c r="I5" i="6" l="1"/>
  <c r="F7" i="6"/>
  <c r="N4" i="6"/>
  <c r="C8" i="6"/>
  <c r="F8" i="6" s="1"/>
  <c r="Y8" i="6" s="1"/>
  <c r="Z8" i="6" s="1"/>
  <c r="B9" i="6"/>
  <c r="K8" i="6" l="1"/>
  <c r="C9" i="6"/>
  <c r="F9" i="6" s="1"/>
  <c r="Y9" i="6" s="1"/>
  <c r="Z9" i="6" s="1"/>
  <c r="B10" i="6"/>
  <c r="Y7" i="6"/>
  <c r="K7" i="6"/>
  <c r="H5" i="6"/>
  <c r="M5" i="6"/>
  <c r="O4" i="6"/>
  <c r="Z7" i="6" l="1"/>
  <c r="B11" i="6"/>
  <c r="C10" i="6"/>
  <c r="F10" i="6" s="1"/>
  <c r="Y10" i="6" s="1"/>
  <c r="Z10" i="6" s="1"/>
  <c r="J5" i="6"/>
  <c r="P4" i="6"/>
  <c r="K9" i="6"/>
  <c r="N5" i="6"/>
  <c r="I6" i="6" l="1"/>
  <c r="K10" i="6"/>
  <c r="B12" i="6"/>
  <c r="C11" i="6"/>
  <c r="F11" i="6" s="1"/>
  <c r="S4" i="6"/>
  <c r="U4" i="6"/>
  <c r="Q4" i="6"/>
  <c r="O5" i="6"/>
  <c r="Y11" i="6" l="1"/>
  <c r="H6" i="6"/>
  <c r="M6" i="6"/>
  <c r="P5" i="6"/>
  <c r="Q5" i="6" s="1"/>
  <c r="T4" i="6"/>
  <c r="B13" i="6"/>
  <c r="C12" i="6"/>
  <c r="F12" i="6" s="1"/>
  <c r="Y12" i="6" s="1"/>
  <c r="Z12" i="6" s="1"/>
  <c r="K11" i="6"/>
  <c r="V4" i="6" l="1"/>
  <c r="K12" i="6"/>
  <c r="N6" i="6"/>
  <c r="Z11" i="6"/>
  <c r="J6" i="6"/>
  <c r="C13" i="6"/>
  <c r="F13" i="6" s="1"/>
  <c r="Y13" i="6" s="1"/>
  <c r="Z13" i="6" s="1"/>
  <c r="B14" i="6"/>
  <c r="S5" i="6"/>
  <c r="U5" i="6"/>
  <c r="I7" i="6" l="1"/>
  <c r="B15" i="6"/>
  <c r="C14" i="6"/>
  <c r="F14" i="6" s="1"/>
  <c r="Y14" i="6" s="1"/>
  <c r="Z14" i="6" s="1"/>
  <c r="K13" i="6"/>
  <c r="O6" i="6"/>
  <c r="T5" i="6"/>
  <c r="K14" i="6" l="1"/>
  <c r="P6" i="6"/>
  <c r="V5" i="6"/>
  <c r="B16" i="6"/>
  <c r="C15" i="6"/>
  <c r="F15" i="6" s="1"/>
  <c r="Y15" i="6" s="1"/>
  <c r="H7" i="6"/>
  <c r="M7" i="6"/>
  <c r="K15" i="6" l="1"/>
  <c r="B17" i="6"/>
  <c r="C16" i="6"/>
  <c r="F16" i="6" s="1"/>
  <c r="Y16" i="6" s="1"/>
  <c r="Z16" i="6" s="1"/>
  <c r="N7" i="6"/>
  <c r="S6" i="6"/>
  <c r="Q6" i="6"/>
  <c r="U6" i="6"/>
  <c r="J7" i="6"/>
  <c r="Z15" i="6"/>
  <c r="T6" i="6" l="1"/>
  <c r="K16" i="6"/>
  <c r="I8" i="6"/>
  <c r="O7" i="6"/>
  <c r="C17" i="6"/>
  <c r="F17" i="6" s="1"/>
  <c r="Y17" i="6" s="1"/>
  <c r="B18" i="6"/>
  <c r="Z17" i="6" l="1"/>
  <c r="H8" i="6"/>
  <c r="M8" i="6"/>
  <c r="V6" i="6"/>
  <c r="P7" i="6"/>
  <c r="B19" i="6"/>
  <c r="C18" i="6"/>
  <c r="F18" i="6" s="1"/>
  <c r="Y18" i="6" s="1"/>
  <c r="Z18" i="6" s="1"/>
  <c r="K17" i="6"/>
  <c r="S7" i="6" l="1"/>
  <c r="T7" i="6" s="1"/>
  <c r="U7" i="6"/>
  <c r="Q7" i="6"/>
  <c r="C19" i="6"/>
  <c r="F19" i="6" s="1"/>
  <c r="Y19" i="6" s="1"/>
  <c r="Z19" i="6" s="1"/>
  <c r="B20" i="6"/>
  <c r="K18" i="6"/>
  <c r="N8" i="6"/>
  <c r="J8" i="6"/>
  <c r="I9" i="6" l="1"/>
  <c r="B21" i="6"/>
  <c r="C20" i="6"/>
  <c r="F20" i="6" s="1"/>
  <c r="Y20" i="6" s="1"/>
  <c r="Z20" i="6" s="1"/>
  <c r="K19" i="6"/>
  <c r="V7" i="6"/>
  <c r="O8" i="6"/>
  <c r="P8" i="6" s="1"/>
  <c r="B22" i="6" l="1"/>
  <c r="C21" i="6"/>
  <c r="F21" i="6" s="1"/>
  <c r="Y21" i="6" s="1"/>
  <c r="Z21" i="6" s="1"/>
  <c r="S8" i="6"/>
  <c r="T8" i="6" s="1"/>
  <c r="U8" i="6"/>
  <c r="Q8" i="6"/>
  <c r="K20" i="6"/>
  <c r="H9" i="6"/>
  <c r="J9" i="6" s="1"/>
  <c r="M9" i="6"/>
  <c r="N9" i="6" s="1"/>
  <c r="O9" i="6" l="1"/>
  <c r="P9" i="6" s="1"/>
  <c r="S9" i="6" s="1"/>
  <c r="T9" i="6" s="1"/>
  <c r="U9" i="6"/>
  <c r="V8" i="6"/>
  <c r="B23" i="6"/>
  <c r="C22" i="6"/>
  <c r="F22" i="6" s="1"/>
  <c r="Y22" i="6" s="1"/>
  <c r="Z22" i="6" s="1"/>
  <c r="I10" i="6"/>
  <c r="K21" i="6"/>
  <c r="Q9" i="6" l="1"/>
  <c r="K22" i="6"/>
  <c r="V9" i="6"/>
  <c r="H10" i="6"/>
  <c r="J10" i="6" s="1"/>
  <c r="M10" i="6"/>
  <c r="N10" i="6" s="1"/>
  <c r="C23" i="6"/>
  <c r="B25" i="6"/>
  <c r="O10" i="6" l="1"/>
  <c r="P10" i="6" s="1"/>
  <c r="S10" i="6" s="1"/>
  <c r="T10" i="6" s="1"/>
  <c r="I11" i="6"/>
  <c r="F23" i="6"/>
  <c r="C25" i="6"/>
  <c r="U10" i="6" l="1"/>
  <c r="Q10" i="6"/>
  <c r="Y23" i="6"/>
  <c r="F25" i="6"/>
  <c r="K23" i="6"/>
  <c r="H11" i="6"/>
  <c r="J11" i="6" s="1"/>
  <c r="M11" i="6"/>
  <c r="N11" i="6" s="1"/>
  <c r="V10" i="6"/>
  <c r="O11" i="6" l="1"/>
  <c r="P11" i="6" s="1"/>
  <c r="S11" i="6" s="1"/>
  <c r="T11" i="6" s="1"/>
  <c r="K25" i="6"/>
  <c r="I12" i="6"/>
  <c r="Z23" i="6"/>
  <c r="Z25" i="6" s="1"/>
  <c r="Y25" i="6"/>
  <c r="Q11" i="6" l="1"/>
  <c r="U11" i="6"/>
  <c r="H12" i="6"/>
  <c r="J12" i="6" s="1"/>
  <c r="M12" i="6"/>
  <c r="N12" i="6" s="1"/>
  <c r="V11" i="6"/>
  <c r="O12" i="6" l="1"/>
  <c r="P12" i="6" s="1"/>
  <c r="S12" i="6" s="1"/>
  <c r="T12" i="6" s="1"/>
  <c r="I13" i="6"/>
  <c r="U12" i="6" l="1"/>
  <c r="Q12" i="6"/>
  <c r="H13" i="6"/>
  <c r="J13" i="6" s="1"/>
  <c r="M13" i="6"/>
  <c r="N13" i="6" s="1"/>
  <c r="V12" i="6"/>
  <c r="O13" i="6" l="1"/>
  <c r="P13" i="6" s="1"/>
  <c r="S13" i="6" s="1"/>
  <c r="T13" i="6" s="1"/>
  <c r="I14" i="6"/>
  <c r="Q13" i="6" l="1"/>
  <c r="U13" i="6"/>
  <c r="H14" i="6"/>
  <c r="J14" i="6" s="1"/>
  <c r="M14" i="6"/>
  <c r="N14" i="6" s="1"/>
  <c r="O14" i="6" s="1"/>
  <c r="P14" i="6" s="1"/>
  <c r="V13" i="6"/>
  <c r="S14" i="6" l="1"/>
  <c r="T14" i="6" s="1"/>
  <c r="U14" i="6"/>
  <c r="Q14" i="6"/>
  <c r="I15" i="6"/>
  <c r="H15" i="6" l="1"/>
  <c r="J15" i="6" s="1"/>
  <c r="M15" i="6"/>
  <c r="N15" i="6" s="1"/>
  <c r="V14" i="6"/>
  <c r="O15" i="6" l="1"/>
  <c r="P15" i="6" s="1"/>
  <c r="S15" i="6" s="1"/>
  <c r="T15" i="6" s="1"/>
  <c r="U15" i="6"/>
  <c r="I16" i="6"/>
  <c r="Q15" i="6" l="1"/>
  <c r="H16" i="6"/>
  <c r="J16" i="6" s="1"/>
  <c r="M16" i="6"/>
  <c r="N16" i="6" s="1"/>
  <c r="V15" i="6"/>
  <c r="O16" i="6" l="1"/>
  <c r="P16" i="6" s="1"/>
  <c r="S16" i="6" s="1"/>
  <c r="T16" i="6" s="1"/>
  <c r="U16" i="6"/>
  <c r="I17" i="6"/>
  <c r="Q16" i="6" l="1"/>
  <c r="H17" i="6"/>
  <c r="J17" i="6" s="1"/>
  <c r="M17" i="6"/>
  <c r="N17" i="6" s="1"/>
  <c r="O17" i="6" s="1"/>
  <c r="P17" i="6" s="1"/>
  <c r="V16" i="6"/>
  <c r="S17" i="6" l="1"/>
  <c r="T17" i="6" s="1"/>
  <c r="U17" i="6"/>
  <c r="Q17" i="6"/>
  <c r="I18" i="6"/>
  <c r="H18" i="6" l="1"/>
  <c r="J18" i="6" s="1"/>
  <c r="M18" i="6"/>
  <c r="N18" i="6" s="1"/>
  <c r="V17" i="6"/>
  <c r="O18" i="6" l="1"/>
  <c r="P18" i="6" s="1"/>
  <c r="S18" i="6" s="1"/>
  <c r="T18" i="6" s="1"/>
  <c r="U18" i="6"/>
  <c r="I19" i="6"/>
  <c r="Q18" i="6" l="1"/>
  <c r="H19" i="6"/>
  <c r="J19" i="6" s="1"/>
  <c r="M19" i="6"/>
  <c r="N19" i="6" s="1"/>
  <c r="O19" i="6" s="1"/>
  <c r="P19" i="6" s="1"/>
  <c r="V18" i="6"/>
  <c r="S19" i="6" l="1"/>
  <c r="T19" i="6" s="1"/>
  <c r="U19" i="6"/>
  <c r="Q19" i="6"/>
  <c r="I20" i="6"/>
  <c r="H20" i="6" l="1"/>
  <c r="J20" i="6" s="1"/>
  <c r="M20" i="6"/>
  <c r="N20" i="6" s="1"/>
  <c r="V19" i="6"/>
  <c r="O20" i="6" l="1"/>
  <c r="P20" i="6" s="1"/>
  <c r="S20" i="6" s="1"/>
  <c r="T20" i="6" s="1"/>
  <c r="U20" i="6"/>
  <c r="I21" i="6"/>
  <c r="Q20" i="6" l="1"/>
  <c r="H21" i="6"/>
  <c r="J21" i="6" s="1"/>
  <c r="M21" i="6"/>
  <c r="N21" i="6" s="1"/>
  <c r="O21" i="6" s="1"/>
  <c r="P21" i="6" s="1"/>
  <c r="V20" i="6"/>
  <c r="S21" i="6" l="1"/>
  <c r="T21" i="6" s="1"/>
  <c r="U21" i="6"/>
  <c r="Q21" i="6"/>
  <c r="I22" i="6"/>
  <c r="V21" i="6" l="1"/>
  <c r="H22" i="6"/>
  <c r="J22" i="6" s="1"/>
  <c r="M22" i="6"/>
  <c r="N22" i="6" s="1"/>
  <c r="O22" i="6" s="1"/>
  <c r="P22" i="6" s="1"/>
  <c r="S22" i="6" l="1"/>
  <c r="T22" i="6" s="1"/>
  <c r="U22" i="6"/>
  <c r="Q22" i="6"/>
  <c r="I23" i="6"/>
  <c r="H23" i="6" l="1"/>
  <c r="I25" i="6"/>
  <c r="M23" i="6"/>
  <c r="V22" i="6"/>
  <c r="N23" i="6" l="1"/>
  <c r="M25" i="6"/>
  <c r="H25" i="6"/>
  <c r="J23" i="6"/>
  <c r="J25" i="6" s="1"/>
  <c r="N25" i="6" l="1"/>
  <c r="O23" i="6"/>
  <c r="O25" i="6" l="1"/>
  <c r="P23" i="6"/>
  <c r="S23" i="6" l="1"/>
  <c r="U23" i="6"/>
  <c r="U25" i="6" s="1"/>
  <c r="P25" i="6"/>
  <c r="Q23" i="6"/>
  <c r="Q25" i="6" s="1"/>
  <c r="S25" i="6" l="1"/>
  <c r="T23" i="6"/>
  <c r="T25" i="6" s="1"/>
  <c r="V23" i="6" l="1"/>
  <c r="V25" i="6" s="1"/>
</calcChain>
</file>

<file path=xl/comments1.xml><?xml version="1.0" encoding="utf-8"?>
<comments xmlns="http://schemas.openxmlformats.org/spreadsheetml/2006/main">
  <authors>
    <author>Athanasios</author>
  </authors>
  <commentList>
    <comment ref="C10" authorId="0" shapeId="0">
      <text/>
    </comment>
    <comment ref="C15" authorId="0" shapeId="0">
      <text/>
    </comment>
  </commentList>
</comments>
</file>

<file path=xl/sharedStrings.xml><?xml version="1.0" encoding="utf-8"?>
<sst xmlns="http://schemas.openxmlformats.org/spreadsheetml/2006/main" count="69" uniqueCount="66">
  <si>
    <t>ΣΥΝΟΛΟ</t>
  </si>
  <si>
    <t>IRR (%)</t>
  </si>
  <si>
    <t>GraphThumbnail</t>
  </si>
  <si>
    <t>With yellow colour, the cells you insert values</t>
  </si>
  <si>
    <t>Capital</t>
  </si>
  <si>
    <t>Renewable capacity (kW)</t>
  </si>
  <si>
    <t>Installation cost (€/kW)</t>
  </si>
  <si>
    <t>Investment cost (€)</t>
  </si>
  <si>
    <t>Loan</t>
  </si>
  <si>
    <t>Loan share</t>
  </si>
  <si>
    <t>loan interest (%)</t>
  </si>
  <si>
    <t>Loan duration (years)</t>
  </si>
  <si>
    <t>Revenues</t>
  </si>
  <si>
    <t>Feed-InTariff price (€/MWh)</t>
  </si>
  <si>
    <t xml:space="preserve">Electrictiy generation MWh/kW </t>
  </si>
  <si>
    <t>Annual efficiency decrease (%)</t>
  </si>
  <si>
    <t>Tax</t>
  </si>
  <si>
    <t>Tax (%)</t>
  </si>
  <si>
    <t>Depreciation (%)</t>
  </si>
  <si>
    <t>Expenses</t>
  </si>
  <si>
    <t>Insurance cost</t>
  </si>
  <si>
    <t>Land rent (% of total groos revenues)</t>
  </si>
  <si>
    <t>Operating expenses (% of initial investment cost)</t>
  </si>
  <si>
    <t>Rest economic figures</t>
  </si>
  <si>
    <t>Inflation (%)</t>
  </si>
  <si>
    <t>Weighted Average Cost of Capital - WACC (%) **</t>
  </si>
  <si>
    <t>Discount rate (%)*</t>
  </si>
  <si>
    <t xml:space="preserve">In sheet "Project IRR" cells S25, Τ25 and U25 are the NPV, IRR and years of depreciation onf the investment - for the whole investment (Project) </t>
  </si>
  <si>
    <t>University of Piraeus</t>
  </si>
  <si>
    <t>Master course in Energy: Strategy, Law and Economics</t>
  </si>
  <si>
    <t>Subject: Special issues in Energy Financing and Risk Management</t>
  </si>
  <si>
    <t>Toll for estimation of Internal Rate of Return (IRR) and Net Present Value (NPV) of investments</t>
  </si>
  <si>
    <t>Athanasios Dagoumas: Assistant Professor in Energy and Resource Economics, University of Piraeus</t>
  </si>
  <si>
    <t>Year</t>
  </si>
  <si>
    <t xml:space="preserve">Revenues (€) </t>
  </si>
  <si>
    <t xml:space="preserve">Expenses (€) </t>
  </si>
  <si>
    <t>Gross revenues</t>
  </si>
  <si>
    <t>Rent</t>
  </si>
  <si>
    <t>Insurance</t>
  </si>
  <si>
    <t>Operating costs</t>
  </si>
  <si>
    <t>Total</t>
  </si>
  <si>
    <t xml:space="preserve">Loan (€) </t>
  </si>
  <si>
    <t>Interest</t>
  </si>
  <si>
    <t>Remaining Loan</t>
  </si>
  <si>
    <t>Annual installment+interest</t>
  </si>
  <si>
    <t>Installment</t>
  </si>
  <si>
    <t xml:space="preserve">EBITDA </t>
  </si>
  <si>
    <t>Depreciation</t>
  </si>
  <si>
    <t xml:space="preserve">EBT </t>
  </si>
  <si>
    <t xml:space="preserve">Taxation (€) </t>
  </si>
  <si>
    <t>Net Cash Flow</t>
  </si>
  <si>
    <t xml:space="preserve">Nominal values (€) </t>
  </si>
  <si>
    <t>Free Net Cash Flow</t>
  </si>
  <si>
    <t>Cummulative Net Cash Flow</t>
  </si>
  <si>
    <t>Discount factor</t>
  </si>
  <si>
    <t>Present values (€)</t>
  </si>
  <si>
    <t>Years of depreciation</t>
  </si>
  <si>
    <t>Energy produced (MWh)</t>
  </si>
  <si>
    <t>Variable production cost (Euro/MWh)</t>
  </si>
  <si>
    <t>Total production cost (Euro/MWh)</t>
  </si>
  <si>
    <r>
      <t>** In the estimation of the Weighted Average Cost of Capital (</t>
    </r>
    <r>
      <rPr>
        <b/>
        <sz val="10"/>
        <rFont val="Arial"/>
        <family val="2"/>
        <charset val="161"/>
      </rPr>
      <t>WACC</t>
    </r>
    <r>
      <rPr>
        <sz val="10"/>
        <rFont val="Arial"/>
        <family val="2"/>
      </rPr>
      <t>), in the contribution on Loan, the impact of ta is considered</t>
    </r>
  </si>
  <si>
    <t>* represents the Cost-of-Capital rate for Equity that satisifes an investor</t>
  </si>
  <si>
    <r>
      <rPr>
        <b/>
        <sz val="10"/>
        <rFont val="Arial"/>
        <family val="2"/>
        <charset val="161"/>
      </rPr>
      <t>ColumnsΤ and U:</t>
    </r>
    <r>
      <rPr>
        <sz val="10"/>
        <rFont val="Arial"/>
        <family val="2"/>
      </rPr>
      <t xml:space="preserve"> At the point where cumulative Net Cash Flow (in Present Value) is 0, then IRR equals to the Discount Rate (Cost-of-Capital rate for Equity or WACC for the whole investment - Project)</t>
    </r>
  </si>
  <si>
    <r>
      <rPr>
        <b/>
        <sz val="10"/>
        <rFont val="Arial"/>
        <family val="2"/>
        <charset val="161"/>
      </rPr>
      <t>Column Τ: IRR</t>
    </r>
    <r>
      <rPr>
        <sz val="10"/>
        <rFont val="Arial"/>
        <family val="2"/>
      </rPr>
      <t xml:space="preserve"> is estimated based on the Nominal values fo Net Cash Flows (and not the values in PV), so it is not affected by the discount rate (Cost-of-Capital rate for Equity or WACC for the whole investment - Project)</t>
    </r>
  </si>
  <si>
    <r>
      <rPr>
        <b/>
        <sz val="10"/>
        <rFont val="Arial"/>
        <family val="2"/>
        <charset val="161"/>
      </rPr>
      <t>Column Ο</t>
    </r>
    <r>
      <rPr>
        <sz val="10"/>
        <rFont val="Arial"/>
        <family val="2"/>
      </rPr>
      <t xml:space="preserve">: In the cells with negative values, means nbegaive cash flows for the invesntment, which a very important parameter, besides IRR </t>
    </r>
  </si>
  <si>
    <r>
      <rPr>
        <b/>
        <sz val="10"/>
        <rFont val="Arial"/>
        <family val="2"/>
        <charset val="161"/>
      </rPr>
      <t>Graph</t>
    </r>
    <r>
      <rPr>
        <sz val="10"/>
        <rFont val="Arial"/>
        <family val="2"/>
      </rPr>
      <t>: In the point where the Cumulative Net Cahs Flow iun Present Value meets the horizontal axis, is the year where the project is depreciated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</si>
</sst>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  <charset val="16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9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3">
    <xf numFmtId="0" fontId="0" fillId="0" borderId="0" xfId="0"/>
    <xf numFmtId="2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2" fillId="3" borderId="11" xfId="0" applyNumberFormat="1" applyFont="1" applyFill="1" applyBorder="1"/>
    <xf numFmtId="3" fontId="2" fillId="0" borderId="13" xfId="0" applyNumberFormat="1" applyFont="1" applyFill="1" applyBorder="1"/>
    <xf numFmtId="3" fontId="0" fillId="0" borderId="6" xfId="0" applyNumberFormat="1" applyBorder="1"/>
    <xf numFmtId="3" fontId="0" fillId="0" borderId="14" xfId="0" applyNumberFormat="1" applyBorder="1"/>
    <xf numFmtId="3" fontId="2" fillId="0" borderId="14" xfId="0" applyNumberFormat="1" applyFont="1" applyFill="1" applyBorder="1"/>
    <xf numFmtId="3" fontId="0" fillId="0" borderId="16" xfId="0" applyNumberFormat="1" applyBorder="1"/>
    <xf numFmtId="3" fontId="0" fillId="0" borderId="5" xfId="0" applyNumberFormat="1" applyBorder="1"/>
    <xf numFmtId="3" fontId="0" fillId="0" borderId="17" xfId="0" applyNumberFormat="1" applyBorder="1"/>
    <xf numFmtId="3" fontId="0" fillId="3" borderId="20" xfId="0" applyNumberFormat="1" applyFill="1" applyBorder="1"/>
    <xf numFmtId="3" fontId="0" fillId="3" borderId="5" xfId="0" applyNumberFormat="1" applyFill="1" applyBorder="1"/>
    <xf numFmtId="3" fontId="0" fillId="3" borderId="21" xfId="0" applyNumberFormat="1" applyFill="1" applyBorder="1"/>
    <xf numFmtId="3" fontId="0" fillId="3" borderId="17" xfId="0" applyNumberFormat="1" applyFill="1" applyBorder="1"/>
    <xf numFmtId="3" fontId="0" fillId="3" borderId="16" xfId="0" applyNumberFormat="1" applyFill="1" applyBorder="1"/>
    <xf numFmtId="3" fontId="0" fillId="3" borderId="19" xfId="0" applyNumberFormat="1" applyFill="1" applyBorder="1"/>
    <xf numFmtId="3" fontId="0" fillId="3" borderId="18" xfId="0" applyNumberFormat="1" applyFill="1" applyBorder="1"/>
    <xf numFmtId="3" fontId="0" fillId="3" borderId="25" xfId="0" applyNumberFormat="1" applyFill="1" applyBorder="1"/>
    <xf numFmtId="3" fontId="0" fillId="0" borderId="27" xfId="0" applyNumberFormat="1" applyBorder="1"/>
    <xf numFmtId="3" fontId="0" fillId="3" borderId="28" xfId="0" applyNumberFormat="1" applyFill="1" applyBorder="1"/>
    <xf numFmtId="3" fontId="0" fillId="3" borderId="4" xfId="0" applyNumberFormat="1" applyFill="1" applyBorder="1"/>
    <xf numFmtId="0" fontId="2" fillId="0" borderId="27" xfId="0" applyFont="1" applyBorder="1"/>
    <xf numFmtId="0" fontId="2" fillId="0" borderId="28" xfId="0" applyFont="1" applyBorder="1"/>
    <xf numFmtId="0" fontId="2" fillId="3" borderId="28" xfId="0" applyFont="1" applyFill="1" applyBorder="1"/>
    <xf numFmtId="0" fontId="2" fillId="3" borderId="4" xfId="0" applyFont="1" applyFill="1" applyBorder="1"/>
    <xf numFmtId="2" fontId="0" fillId="0" borderId="29" xfId="0" applyNumberFormat="1" applyBorder="1"/>
    <xf numFmtId="0" fontId="0" fillId="3" borderId="30" xfId="0" applyFill="1" applyBorder="1"/>
    <xf numFmtId="0" fontId="0" fillId="3" borderId="23" xfId="0" applyFill="1" applyBorder="1"/>
    <xf numFmtId="0" fontId="2" fillId="3" borderId="0" xfId="0" applyFont="1" applyFill="1" applyBorder="1"/>
    <xf numFmtId="3" fontId="2" fillId="2" borderId="21" xfId="0" applyNumberFormat="1" applyFont="1" applyFill="1" applyBorder="1"/>
    <xf numFmtId="164" fontId="2" fillId="2" borderId="4" xfId="0" applyNumberFormat="1" applyFont="1" applyFill="1" applyBorder="1"/>
    <xf numFmtId="9" fontId="0" fillId="0" borderId="27" xfId="0" applyNumberFormat="1" applyBorder="1"/>
    <xf numFmtId="0" fontId="0" fillId="0" borderId="28" xfId="0" applyBorder="1"/>
    <xf numFmtId="3" fontId="2" fillId="2" borderId="31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3" xfId="0" applyBorder="1"/>
    <xf numFmtId="10" fontId="2" fillId="3" borderId="1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0" fillId="0" borderId="35" xfId="0" applyBorder="1"/>
    <xf numFmtId="3" fontId="2" fillId="3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9" fontId="2" fillId="2" borderId="31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2" fillId="2" borderId="31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31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/>
    <xf numFmtId="0" fontId="0" fillId="0" borderId="39" xfId="0" applyNumberFormat="1" applyBorder="1" applyAlignment="1"/>
    <xf numFmtId="0" fontId="0" fillId="0" borderId="41" xfId="0" applyNumberFormat="1" applyBorder="1" applyAlignment="1"/>
    <xf numFmtId="3" fontId="0" fillId="0" borderId="42" xfId="0" applyNumberFormat="1" applyBorder="1"/>
    <xf numFmtId="9" fontId="2" fillId="3" borderId="24" xfId="0" applyNumberFormat="1" applyFont="1" applyFill="1" applyBorder="1"/>
    <xf numFmtId="3" fontId="2" fillId="0" borderId="11" xfId="0" applyNumberFormat="1" applyFont="1" applyFill="1" applyBorder="1"/>
    <xf numFmtId="0" fontId="0" fillId="0" borderId="43" xfId="0" applyFill="1" applyBorder="1"/>
    <xf numFmtId="3" fontId="0" fillId="0" borderId="44" xfId="0" applyNumberFormat="1" applyBorder="1"/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 vertical="center"/>
    </xf>
    <xf numFmtId="0" fontId="2" fillId="0" borderId="44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/>
    </xf>
    <xf numFmtId="4" fontId="2" fillId="2" borderId="9" xfId="0" applyNumberFormat="1" applyFont="1" applyFill="1" applyBorder="1" applyAlignment="1">
      <alignment horizontal="center" vertical="center"/>
    </xf>
    <xf numFmtId="3" fontId="2" fillId="3" borderId="37" xfId="0" applyNumberFormat="1" applyFont="1" applyFill="1" applyBorder="1" applyAlignment="1">
      <alignment horizontal="center" vertical="center"/>
    </xf>
    <xf numFmtId="164" fontId="2" fillId="3" borderId="37" xfId="0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1" fontId="0" fillId="0" borderId="0" xfId="0" applyNumberFormat="1"/>
    <xf numFmtId="0" fontId="0" fillId="3" borderId="0" xfId="0" applyNumberFormat="1" applyFill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0" fillId="3" borderId="0" xfId="0" applyFill="1" applyBorder="1"/>
    <xf numFmtId="0" fontId="0" fillId="0" borderId="44" xfId="0" applyFont="1" applyBorder="1"/>
    <xf numFmtId="0" fontId="0" fillId="0" borderId="27" xfId="0" applyFont="1" applyBorder="1"/>
    <xf numFmtId="0" fontId="0" fillId="0" borderId="28" xfId="0" applyFont="1" applyBorder="1"/>
    <xf numFmtId="0" fontId="2" fillId="2" borderId="4" xfId="0" applyFont="1" applyFill="1" applyBorder="1"/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8" xfId="0" applyFont="1" applyBorder="1"/>
    <xf numFmtId="2" fontId="0" fillId="0" borderId="9" xfId="0" applyNumberFormat="1" applyBorder="1"/>
    <xf numFmtId="1" fontId="0" fillId="0" borderId="8" xfId="0" applyNumberFormat="1" applyFont="1" applyBorder="1"/>
    <xf numFmtId="0" fontId="0" fillId="0" borderId="50" xfId="0" applyBorder="1"/>
    <xf numFmtId="1" fontId="5" fillId="2" borderId="48" xfId="0" applyNumberFormat="1" applyFont="1" applyFill="1" applyBorder="1"/>
    <xf numFmtId="2" fontId="5" fillId="2" borderId="49" xfId="0" applyNumberFormat="1" applyFont="1" applyFill="1" applyBorder="1"/>
    <xf numFmtId="2" fontId="5" fillId="2" borderId="10" xfId="0" applyNumberFormat="1" applyFont="1" applyFill="1" applyBorder="1"/>
    <xf numFmtId="0" fontId="6" fillId="0" borderId="0" xfId="0" applyFont="1"/>
    <xf numFmtId="0" fontId="0" fillId="2" borderId="0" xfId="0" applyFill="1"/>
    <xf numFmtId="2" fontId="5" fillId="0" borderId="0" xfId="0" applyNumberFormat="1" applyFont="1"/>
    <xf numFmtId="4" fontId="5" fillId="0" borderId="0" xfId="0" applyNumberFormat="1" applyFont="1"/>
    <xf numFmtId="0" fontId="2" fillId="0" borderId="46" xfId="0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" fillId="0" borderId="39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Cummulative Net</a:t>
            </a:r>
            <a:r>
              <a:rPr lang="en-US" baseline="0"/>
              <a:t> Cash Flow in Present Value</a:t>
            </a:r>
            <a:r>
              <a:rPr lang="el-GR" baseline="0"/>
              <a:t> </a:t>
            </a:r>
            <a:r>
              <a:rPr lang="en-US"/>
              <a:t>(€)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'Project IRR'!$T$2</c:f>
              <c:strCache>
                <c:ptCount val="1"/>
                <c:pt idx="0">
                  <c:v>Cummulative Net Cash Flow</c:v>
                </c:pt>
              </c:strCache>
            </c:strRef>
          </c:tx>
          <c:val>
            <c:numRef>
              <c:f>'Project IRR'!$T$3:$T$23</c:f>
              <c:numCache>
                <c:formatCode>#,##0</c:formatCode>
                <c:ptCount val="21"/>
                <c:pt idx="0">
                  <c:v>-1400000</c:v>
                </c:pt>
                <c:pt idx="1">
                  <c:v>-1186926.4119019837</c:v>
                </c:pt>
                <c:pt idx="2">
                  <c:v>-982212.81374694256</c:v>
                </c:pt>
                <c:pt idx="3">
                  <c:v>-785572.72028578864</c:v>
                </c:pt>
                <c:pt idx="4">
                  <c:v>-596730.06769655843</c:v>
                </c:pt>
                <c:pt idx="5">
                  <c:v>-415418.83646474272</c:v>
                </c:pt>
                <c:pt idx="6">
                  <c:v>-241382.68807651388</c:v>
                </c:pt>
                <c:pt idx="7">
                  <c:v>-74374.615016839001</c:v>
                </c:pt>
                <c:pt idx="8">
                  <c:v>85843.396416764997</c:v>
                </c:pt>
                <c:pt idx="9">
                  <c:v>239500.69095600431</c:v>
                </c:pt>
                <c:pt idx="10">
                  <c:v>386818.25731287582</c:v>
                </c:pt>
                <c:pt idx="11">
                  <c:v>528009.02967703587</c:v>
                </c:pt>
                <c:pt idx="12">
                  <c:v>663278.1781803387</c:v>
                </c:pt>
                <c:pt idx="13">
                  <c:v>792823.38873387338</c:v>
                </c:pt>
                <c:pt idx="14">
                  <c:v>916835.13262786134</c:v>
                </c:pt>
                <c:pt idx="15">
                  <c:v>1035496.9262703664</c:v>
                </c:pt>
                <c:pt idx="16">
                  <c:v>1148985.5814268929</c:v>
                </c:pt>
                <c:pt idx="17">
                  <c:v>1258378.826024255</c:v>
                </c:pt>
                <c:pt idx="18">
                  <c:v>1363825.9539900294</c:v>
                </c:pt>
                <c:pt idx="19">
                  <c:v>1465470.7765510208</c:v>
                </c:pt>
                <c:pt idx="20">
                  <c:v>1563451.8246468252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F6-4867-BFC1-745BF5D58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00064"/>
        <c:axId val="314602808"/>
      </c:lineChart>
      <c:catAx>
        <c:axId val="31460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2225"/>
        </c:spPr>
        <c:txPr>
          <a:bodyPr/>
          <a:lstStyle/>
          <a:p>
            <a:pPr>
              <a:defRPr b="1"/>
            </a:pPr>
            <a:endParaRPr lang="en-US"/>
          </a:p>
        </c:txPr>
        <c:crossAx val="314602808"/>
        <c:crosses val="autoZero"/>
        <c:auto val="1"/>
        <c:lblAlgn val="ctr"/>
        <c:lblOffset val="100"/>
        <c:noMultiLvlLbl val="0"/>
      </c:catAx>
      <c:valAx>
        <c:axId val="314602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460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Net Cash Flow in nominal values (€)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 IRR'!$A$2</c:f>
              <c:strCache>
                <c:ptCount val="1"/>
                <c:pt idx="0">
                  <c:v>Year</c:v>
                </c:pt>
              </c:strCache>
            </c:strRef>
          </c:tx>
          <c:invertIfNegative val="0"/>
          <c:val>
            <c:numRef>
              <c:f>'Project IRR'!$A$3:$A$23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D7-499A-85B8-7834B4E34CA1}"/>
            </c:ext>
          </c:extLst>
        </c:ser>
        <c:ser>
          <c:idx val="1"/>
          <c:order val="1"/>
          <c:tx>
            <c:strRef>
              <c:f>'Project IRR'!$O$2</c:f>
              <c:strCache>
                <c:ptCount val="1"/>
                <c:pt idx="0">
                  <c:v>Net Cash Flow</c:v>
                </c:pt>
              </c:strCache>
            </c:strRef>
          </c:tx>
          <c:invertIfNegative val="0"/>
          <c:val>
            <c:numRef>
              <c:f>'Project IRR'!$O$3:$O$23</c:f>
              <c:numCache>
                <c:formatCode>#,##0</c:formatCode>
                <c:ptCount val="21"/>
                <c:pt idx="0">
                  <c:v>-1400000</c:v>
                </c:pt>
                <c:pt idx="1">
                  <c:v>93207.337480637536</c:v>
                </c:pt>
                <c:pt idx="2">
                  <c:v>90588.903810612901</c:v>
                </c:pt>
                <c:pt idx="3">
                  <c:v>87956.599303787327</c:v>
                </c:pt>
                <c:pt idx="4">
                  <c:v>85308.940581588744</c:v>
                </c:pt>
                <c:pt idx="5">
                  <c:v>82644.394215753186</c:v>
                </c:pt>
                <c:pt idx="6">
                  <c:v>79961.374633482701</c:v>
                </c:pt>
                <c:pt idx="7">
                  <c:v>77258.241939737869</c:v>
                </c:pt>
                <c:pt idx="8">
                  <c:v>74533.299653341615</c:v>
                </c:pt>
                <c:pt idx="9">
                  <c:v>71784.792353436846</c:v>
                </c:pt>
                <c:pt idx="10">
                  <c:v>69010.903232703815</c:v>
                </c:pt>
                <c:pt idx="11">
                  <c:v>66209.751553597656</c:v>
                </c:pt>
                <c:pt idx="12">
                  <c:v>63379.390003718858</c:v>
                </c:pt>
                <c:pt idx="13">
                  <c:v>60517.801946272666</c:v>
                </c:pt>
                <c:pt idx="14">
                  <c:v>57622.898561412061</c:v>
                </c:pt>
                <c:pt idx="15">
                  <c:v>54692.515874091652</c:v>
                </c:pt>
                <c:pt idx="16">
                  <c:v>177641.95218324615</c:v>
                </c:pt>
                <c:pt idx="17">
                  <c:v>176094.44624141368</c:v>
                </c:pt>
                <c:pt idx="18">
                  <c:v>174562.91235899954</c:v>
                </c:pt>
                <c:pt idx="19">
                  <c:v>173047.19081540953</c:v>
                </c:pt>
                <c:pt idx="20">
                  <c:v>171547.12348725545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BB-419F-BDF1-229CE877A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602416"/>
        <c:axId val="314596928"/>
      </c:barChart>
      <c:catAx>
        <c:axId val="31460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4596928"/>
        <c:crosses val="autoZero"/>
        <c:auto val="1"/>
        <c:lblAlgn val="ctr"/>
        <c:lblOffset val="100"/>
        <c:noMultiLvlLbl val="0"/>
      </c:catAx>
      <c:valAx>
        <c:axId val="31459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1460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952499</xdr:colOff>
      <xdr:row>25</xdr:row>
      <xdr:rowOff>74789</xdr:rowOff>
    </xdr:from>
    <xdr:to>
      <xdr:col>17</xdr:col>
      <xdr:colOff>0</xdr:colOff>
      <xdr:row>48</xdr:row>
      <xdr:rowOff>70555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437444</xdr:colOff>
      <xdr:row>25</xdr:row>
      <xdr:rowOff>117122</xdr:rowOff>
    </xdr:from>
    <xdr:to>
      <xdr:col>27</xdr:col>
      <xdr:colOff>395111</xdr:colOff>
      <xdr:row>48</xdr:row>
      <xdr:rowOff>91722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2.75" x14ac:dyDescent="0.2"/>
  <sheetData>
    <row r="1" spans="1:6" x14ac:dyDescent="0.2">
      <c r="A1">
        <v>0</v>
      </c>
      <c r="B1">
        <v>0</v>
      </c>
    </row>
    <row r="2" spans="1:6" x14ac:dyDescent="0.2">
      <c r="A2">
        <v>0</v>
      </c>
    </row>
    <row r="3" spans="1:6" x14ac:dyDescent="0.2">
      <c r="A3">
        <v>0</v>
      </c>
    </row>
    <row r="4" spans="1:6" x14ac:dyDescent="0.2">
      <c r="A4" t="b">
        <v>0</v>
      </c>
      <c r="B4">
        <v>15680</v>
      </c>
      <c r="C4">
        <v>7345</v>
      </c>
      <c r="D4">
        <v>7360</v>
      </c>
      <c r="E4">
        <v>0</v>
      </c>
    </row>
    <row r="5" spans="1:6" x14ac:dyDescent="0.2">
      <c r="A5" t="b">
        <v>0</v>
      </c>
      <c r="B5">
        <v>15680</v>
      </c>
      <c r="C5">
        <v>7345</v>
      </c>
      <c r="D5">
        <v>7360</v>
      </c>
      <c r="E5">
        <v>0</v>
      </c>
    </row>
    <row r="6" spans="1:6" x14ac:dyDescent="0.2">
      <c r="A6" t="b">
        <v>0</v>
      </c>
      <c r="B6">
        <v>15680</v>
      </c>
      <c r="C6">
        <v>7345</v>
      </c>
      <c r="D6">
        <v>7360</v>
      </c>
      <c r="E6">
        <v>0</v>
      </c>
    </row>
    <row r="7" spans="1:6" x14ac:dyDescent="0.2">
      <c r="A7" t="b">
        <v>0</v>
      </c>
      <c r="B7">
        <v>15680</v>
      </c>
      <c r="C7">
        <v>7345</v>
      </c>
      <c r="D7">
        <v>7360</v>
      </c>
      <c r="E7">
        <v>0</v>
      </c>
    </row>
    <row r="8" spans="1:6" x14ac:dyDescent="0.2">
      <c r="A8" t="b">
        <v>0</v>
      </c>
      <c r="B8">
        <v>15680</v>
      </c>
      <c r="C8">
        <v>7345</v>
      </c>
      <c r="D8">
        <v>7360</v>
      </c>
      <c r="E8">
        <v>0</v>
      </c>
    </row>
    <row r="9" spans="1:6" x14ac:dyDescent="0.2">
      <c r="A9">
        <v>1</v>
      </c>
    </row>
    <row r="10" spans="1:6" x14ac:dyDescent="0.2">
      <c r="A10" t="s">
        <v>2</v>
      </c>
    </row>
    <row r="11" spans="1:6" x14ac:dyDescent="0.2">
      <c r="A11">
        <v>0</v>
      </c>
      <c r="B11" t="b">
        <v>0</v>
      </c>
      <c r="C11" t="b">
        <v>0</v>
      </c>
      <c r="D11">
        <v>10</v>
      </c>
      <c r="E11">
        <v>0.95</v>
      </c>
      <c r="F1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"/>
  <sheetViews>
    <sheetView topLeftCell="A19" zoomScale="153" workbookViewId="0">
      <selection activeCell="B33" sqref="B33"/>
    </sheetView>
  </sheetViews>
  <sheetFormatPr defaultColWidth="10.7109375" defaultRowHeight="12.75" x14ac:dyDescent="0.2"/>
  <cols>
    <col min="1" max="1" width="13.42578125" customWidth="1"/>
    <col min="2" max="2" width="56.5703125" customWidth="1"/>
  </cols>
  <sheetData>
    <row r="1" spans="1:10" x14ac:dyDescent="0.2">
      <c r="A1" s="108" t="s">
        <v>28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10" x14ac:dyDescent="0.2">
      <c r="A2" s="111" t="s">
        <v>29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0" x14ac:dyDescent="0.2">
      <c r="A3" s="111" t="s">
        <v>30</v>
      </c>
      <c r="B3" s="112"/>
      <c r="C3" s="112"/>
      <c r="D3" s="112"/>
      <c r="E3" s="112"/>
      <c r="F3" s="112"/>
      <c r="G3" s="112"/>
      <c r="H3" s="112"/>
      <c r="I3" s="112"/>
      <c r="J3" s="113"/>
    </row>
    <row r="4" spans="1:10" x14ac:dyDescent="0.2">
      <c r="A4" s="111" t="s">
        <v>31</v>
      </c>
      <c r="B4" s="112"/>
      <c r="C4" s="112"/>
      <c r="D4" s="112"/>
      <c r="E4" s="112"/>
      <c r="F4" s="112"/>
      <c r="G4" s="112"/>
      <c r="H4" s="112"/>
      <c r="I4" s="112"/>
      <c r="J4" s="113"/>
    </row>
    <row r="5" spans="1:10" ht="13.5" thickBot="1" x14ac:dyDescent="0.25">
      <c r="A5" s="114" t="s">
        <v>32</v>
      </c>
      <c r="B5" s="115"/>
      <c r="C5" s="115"/>
      <c r="D5" s="115"/>
      <c r="E5" s="115"/>
      <c r="F5" s="115"/>
      <c r="G5" s="115"/>
      <c r="H5" s="115"/>
      <c r="I5" s="115"/>
      <c r="J5" s="116"/>
    </row>
    <row r="7" spans="1:10" ht="13.5" thickBot="1" x14ac:dyDescent="0.25"/>
    <row r="8" spans="1:10" ht="13.5" thickBot="1" x14ac:dyDescent="0.25">
      <c r="A8" s="120" t="s">
        <v>3</v>
      </c>
      <c r="B8" s="121"/>
      <c r="C8" s="122"/>
    </row>
    <row r="9" spans="1:10" ht="13.5" thickBot="1" x14ac:dyDescent="0.25"/>
    <row r="10" spans="1:10" x14ac:dyDescent="0.2">
      <c r="A10" s="123" t="s">
        <v>4</v>
      </c>
      <c r="B10" s="48" t="s">
        <v>5</v>
      </c>
      <c r="C10" s="41">
        <f>2000</f>
        <v>2000</v>
      </c>
    </row>
    <row r="11" spans="1:10" ht="12" customHeight="1" x14ac:dyDescent="0.2">
      <c r="A11" s="124"/>
      <c r="B11" s="49" t="s">
        <v>6</v>
      </c>
      <c r="C11" s="42">
        <v>700</v>
      </c>
    </row>
    <row r="12" spans="1:10" ht="13.5" thickBot="1" x14ac:dyDescent="0.25">
      <c r="A12" s="125"/>
      <c r="B12" s="50" t="s">
        <v>7</v>
      </c>
      <c r="C12" s="52">
        <f>C10*C11</f>
        <v>1400000</v>
      </c>
    </row>
    <row r="13" spans="1:10" ht="13.5" thickBot="1" x14ac:dyDescent="0.25">
      <c r="A13" s="51"/>
      <c r="B13" s="53"/>
      <c r="C13" s="79"/>
    </row>
    <row r="14" spans="1:10" ht="12" customHeight="1" x14ac:dyDescent="0.2">
      <c r="A14" s="123" t="s">
        <v>8</v>
      </c>
      <c r="B14" s="48" t="s">
        <v>9</v>
      </c>
      <c r="C14" s="54">
        <v>1</v>
      </c>
    </row>
    <row r="15" spans="1:10" x14ac:dyDescent="0.2">
      <c r="A15" s="124"/>
      <c r="B15" s="49" t="s">
        <v>10</v>
      </c>
      <c r="C15" s="43">
        <f>0.04</f>
        <v>0.04</v>
      </c>
    </row>
    <row r="16" spans="1:10" ht="12" customHeight="1" thickBot="1" x14ac:dyDescent="0.25">
      <c r="A16" s="125"/>
      <c r="B16" s="50" t="s">
        <v>11</v>
      </c>
      <c r="C16" s="55">
        <v>15</v>
      </c>
    </row>
    <row r="17" spans="1:3" ht="13.5" thickBot="1" x14ac:dyDescent="0.25">
      <c r="A17" s="51"/>
      <c r="B17" s="53"/>
      <c r="C17" s="79"/>
    </row>
    <row r="18" spans="1:3" ht="12" customHeight="1" x14ac:dyDescent="0.2">
      <c r="A18" s="123" t="s">
        <v>12</v>
      </c>
      <c r="B18" s="48" t="s">
        <v>13</v>
      </c>
      <c r="C18" s="56">
        <v>83.3</v>
      </c>
    </row>
    <row r="19" spans="1:3" ht="12" customHeight="1" x14ac:dyDescent="0.2">
      <c r="A19" s="124"/>
      <c r="B19" s="49" t="s">
        <v>14</v>
      </c>
      <c r="C19" s="78">
        <v>1.57</v>
      </c>
    </row>
    <row r="20" spans="1:3" ht="12" customHeight="1" thickBot="1" x14ac:dyDescent="0.25">
      <c r="A20" s="125"/>
      <c r="B20" s="50" t="s">
        <v>15</v>
      </c>
      <c r="C20" s="57">
        <v>0.01</v>
      </c>
    </row>
    <row r="21" spans="1:3" ht="13.5" thickBot="1" x14ac:dyDescent="0.25">
      <c r="A21" s="51"/>
      <c r="B21" s="53"/>
      <c r="C21" s="80"/>
    </row>
    <row r="22" spans="1:3" ht="12" customHeight="1" x14ac:dyDescent="0.2">
      <c r="A22" s="123" t="s">
        <v>16</v>
      </c>
      <c r="B22" s="48" t="s">
        <v>17</v>
      </c>
      <c r="C22" s="58">
        <v>0.28999999999999998</v>
      </c>
    </row>
    <row r="23" spans="1:3" ht="12" customHeight="1" thickBot="1" x14ac:dyDescent="0.25">
      <c r="A23" s="125"/>
      <c r="B23" s="50" t="s">
        <v>18</v>
      </c>
      <c r="C23" s="57">
        <v>0.05</v>
      </c>
    </row>
    <row r="24" spans="1:3" ht="13.5" thickBot="1" x14ac:dyDescent="0.25">
      <c r="A24" s="51"/>
      <c r="B24" s="53"/>
      <c r="C24" s="80"/>
    </row>
    <row r="25" spans="1:3" x14ac:dyDescent="0.2">
      <c r="A25" s="123" t="s">
        <v>19</v>
      </c>
      <c r="B25" s="48" t="s">
        <v>20</v>
      </c>
      <c r="C25" s="58">
        <v>1E-3</v>
      </c>
    </row>
    <row r="26" spans="1:3" ht="12" customHeight="1" x14ac:dyDescent="0.2">
      <c r="A26" s="124"/>
      <c r="B26" s="49" t="s">
        <v>21</v>
      </c>
      <c r="C26" s="44">
        <v>0</v>
      </c>
    </row>
    <row r="27" spans="1:3" ht="13.5" thickBot="1" x14ac:dyDescent="0.25">
      <c r="A27" s="125"/>
      <c r="B27" s="50" t="s">
        <v>22</v>
      </c>
      <c r="C27" s="57">
        <v>2.1429999999999999E-3</v>
      </c>
    </row>
    <row r="28" spans="1:3" ht="13.5" thickBot="1" x14ac:dyDescent="0.25">
      <c r="A28" s="51"/>
      <c r="B28" s="45"/>
      <c r="C28" s="46"/>
    </row>
    <row r="29" spans="1:3" ht="12" customHeight="1" x14ac:dyDescent="0.2">
      <c r="A29" s="123" t="s">
        <v>23</v>
      </c>
      <c r="B29" s="48" t="s">
        <v>24</v>
      </c>
      <c r="C29" s="58">
        <v>0</v>
      </c>
    </row>
    <row r="30" spans="1:3" ht="14.25" customHeight="1" x14ac:dyDescent="0.2">
      <c r="A30" s="124"/>
      <c r="B30" s="49" t="s">
        <v>26</v>
      </c>
      <c r="C30" s="44">
        <v>0.08</v>
      </c>
    </row>
    <row r="31" spans="1:3" ht="12" customHeight="1" thickBot="1" x14ac:dyDescent="0.25">
      <c r="A31" s="125"/>
      <c r="B31" s="50" t="s">
        <v>25</v>
      </c>
      <c r="C31" s="47">
        <f>C30*(1-C14)+C15*(1-C22)*C14</f>
        <v>2.8399999999999998E-2</v>
      </c>
    </row>
    <row r="34" spans="1:10" x14ac:dyDescent="0.2">
      <c r="A34" s="117" t="s">
        <v>61</v>
      </c>
      <c r="B34" s="117"/>
      <c r="C34" s="117"/>
      <c r="D34" s="117"/>
      <c r="E34" s="117"/>
      <c r="F34" s="117"/>
      <c r="G34" s="117"/>
      <c r="H34" s="117"/>
      <c r="I34" s="117"/>
      <c r="J34" s="117"/>
    </row>
    <row r="35" spans="1:10" x14ac:dyDescent="0.2">
      <c r="A35" s="117" t="s">
        <v>60</v>
      </c>
      <c r="B35" s="117"/>
      <c r="C35" s="117"/>
      <c r="D35" s="117"/>
      <c r="E35" s="117"/>
      <c r="F35" s="117"/>
      <c r="G35" s="117"/>
      <c r="H35" s="117"/>
      <c r="I35" s="117"/>
      <c r="J35" s="117"/>
    </row>
    <row r="36" spans="1:10" ht="26.1" customHeight="1" x14ac:dyDescent="0.2">
      <c r="A36" s="119" t="s">
        <v>27</v>
      </c>
      <c r="B36" s="119"/>
      <c r="C36" s="119"/>
      <c r="D36" s="119"/>
      <c r="E36" s="119"/>
      <c r="F36" s="119"/>
      <c r="G36" s="119"/>
      <c r="H36" s="119"/>
      <c r="I36" s="119"/>
      <c r="J36" s="119"/>
    </row>
    <row r="37" spans="1:10" ht="26.1" customHeight="1" x14ac:dyDescent="0.2">
      <c r="A37" s="118" t="s">
        <v>63</v>
      </c>
      <c r="B37" s="117"/>
      <c r="C37" s="117"/>
      <c r="D37" s="117"/>
      <c r="E37" s="117"/>
      <c r="F37" s="117"/>
      <c r="G37" s="117"/>
      <c r="H37" s="117"/>
      <c r="I37" s="117"/>
      <c r="J37" s="117"/>
    </row>
    <row r="38" spans="1:10" ht="26.1" customHeight="1" x14ac:dyDescent="0.2">
      <c r="A38" s="118" t="s">
        <v>62</v>
      </c>
      <c r="B38" s="117"/>
      <c r="C38" s="117"/>
      <c r="D38" s="117"/>
      <c r="E38" s="117"/>
      <c r="F38" s="117"/>
      <c r="G38" s="117"/>
      <c r="H38" s="117"/>
      <c r="I38" s="117"/>
      <c r="J38" s="117"/>
    </row>
    <row r="39" spans="1:10" x14ac:dyDescent="0.2">
      <c r="A39" s="118" t="s">
        <v>64</v>
      </c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 x14ac:dyDescent="0.2">
      <c r="A40" s="118" t="s">
        <v>65</v>
      </c>
      <c r="B40" s="117"/>
      <c r="C40" s="117"/>
      <c r="D40" s="117"/>
      <c r="E40" s="117"/>
      <c r="F40" s="117"/>
      <c r="G40" s="117"/>
      <c r="H40" s="117"/>
      <c r="I40" s="117"/>
      <c r="J40" s="117"/>
    </row>
  </sheetData>
  <mergeCells count="19">
    <mergeCell ref="A35:J35"/>
    <mergeCell ref="A37:J37"/>
    <mergeCell ref="A40:J40"/>
    <mergeCell ref="A36:J36"/>
    <mergeCell ref="A8:C8"/>
    <mergeCell ref="A38:J38"/>
    <mergeCell ref="A39:J39"/>
    <mergeCell ref="A10:A12"/>
    <mergeCell ref="A34:J34"/>
    <mergeCell ref="A29:A31"/>
    <mergeCell ref="A22:A23"/>
    <mergeCell ref="A25:A27"/>
    <mergeCell ref="A14:A16"/>
    <mergeCell ref="A18:A20"/>
    <mergeCell ref="A1:J1"/>
    <mergeCell ref="A2:J2"/>
    <mergeCell ref="A3:J3"/>
    <mergeCell ref="A4:J4"/>
    <mergeCell ref="A5:J5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tabSelected="1" zoomScale="138" zoomScaleNormal="90" zoomScalePageLayoutView="90" workbookViewId="0">
      <selection activeCell="A49" sqref="A49"/>
    </sheetView>
  </sheetViews>
  <sheetFormatPr defaultColWidth="8.7109375" defaultRowHeight="12.75" x14ac:dyDescent="0.2"/>
  <cols>
    <col min="1" max="1" width="8.28515625" customWidth="1"/>
    <col min="2" max="4" width="11.42578125" customWidth="1"/>
    <col min="5" max="6" width="12.42578125" customWidth="1"/>
    <col min="7" max="7" width="16.140625" customWidth="1"/>
    <col min="8" max="8" width="12.5703125" customWidth="1"/>
    <col min="9" max="9" width="10.42578125" customWidth="1"/>
    <col min="10" max="10" width="12.42578125" customWidth="1"/>
    <col min="11" max="11" width="16.28515625" customWidth="1"/>
    <col min="12" max="12" width="11.7109375" customWidth="1"/>
    <col min="13" max="13" width="15" customWidth="1"/>
    <col min="14" max="15" width="10.140625" customWidth="1"/>
    <col min="16" max="16" width="11.7109375" customWidth="1"/>
    <col min="17" max="17" width="12.85546875" customWidth="1"/>
    <col min="18" max="18" width="14.28515625" customWidth="1"/>
    <col min="19" max="19" width="10.42578125" customWidth="1"/>
    <col min="20" max="20" width="12.5703125" customWidth="1"/>
    <col min="21" max="21" width="10.7109375" bestFit="1" customWidth="1"/>
    <col min="22" max="23" width="12.85546875" customWidth="1"/>
    <col min="24" max="24" width="11.85546875" customWidth="1"/>
    <col min="25" max="25" width="11.42578125" customWidth="1"/>
    <col min="26" max="26" width="12.140625" customWidth="1"/>
    <col min="28" max="28" width="10.85546875" customWidth="1"/>
    <col min="29" max="29" width="9.7109375" bestFit="1" customWidth="1"/>
    <col min="30" max="30" width="12.42578125" customWidth="1"/>
    <col min="31" max="31" width="12" customWidth="1"/>
    <col min="32" max="32" width="11.7109375" customWidth="1"/>
    <col min="34" max="34" width="11.7109375" customWidth="1"/>
  </cols>
  <sheetData>
    <row r="1" spans="1:26" ht="13.5" thickBot="1" x14ac:dyDescent="0.25">
      <c r="A1" s="74"/>
      <c r="B1" s="77" t="s">
        <v>34</v>
      </c>
      <c r="C1" s="126" t="s">
        <v>35</v>
      </c>
      <c r="D1" s="128"/>
      <c r="E1" s="128"/>
      <c r="F1" s="129"/>
      <c r="G1" s="126" t="s">
        <v>41</v>
      </c>
      <c r="H1" s="128"/>
      <c r="I1" s="128"/>
      <c r="J1" s="129"/>
      <c r="K1" s="126" t="s">
        <v>49</v>
      </c>
      <c r="L1" s="128"/>
      <c r="M1" s="128"/>
      <c r="N1" s="129"/>
      <c r="O1" s="130" t="s">
        <v>51</v>
      </c>
      <c r="P1" s="131"/>
      <c r="Q1" s="132"/>
      <c r="R1" s="60"/>
      <c r="S1" s="126" t="s">
        <v>55</v>
      </c>
      <c r="T1" s="127"/>
      <c r="U1" s="61"/>
      <c r="V1" s="61"/>
      <c r="W1" s="84"/>
    </row>
    <row r="2" spans="1:26" ht="61.15" customHeight="1" thickBot="1" x14ac:dyDescent="0.25">
      <c r="A2" s="73" t="s">
        <v>33</v>
      </c>
      <c r="B2" s="73" t="s">
        <v>36</v>
      </c>
      <c r="C2" s="67" t="s">
        <v>37</v>
      </c>
      <c r="D2" s="76" t="s">
        <v>38</v>
      </c>
      <c r="E2" s="76" t="s">
        <v>39</v>
      </c>
      <c r="F2" s="71" t="s">
        <v>40</v>
      </c>
      <c r="G2" s="67" t="s">
        <v>44</v>
      </c>
      <c r="H2" s="76" t="s">
        <v>45</v>
      </c>
      <c r="I2" s="76" t="s">
        <v>42</v>
      </c>
      <c r="J2" s="71" t="s">
        <v>43</v>
      </c>
      <c r="K2" s="67" t="s">
        <v>46</v>
      </c>
      <c r="L2" s="68" t="s">
        <v>47</v>
      </c>
      <c r="M2" s="69" t="s">
        <v>48</v>
      </c>
      <c r="N2" s="70" t="s">
        <v>16</v>
      </c>
      <c r="O2" s="67" t="s">
        <v>50</v>
      </c>
      <c r="P2" s="67" t="s">
        <v>52</v>
      </c>
      <c r="Q2" s="71" t="s">
        <v>53</v>
      </c>
      <c r="R2" s="72" t="s">
        <v>54</v>
      </c>
      <c r="S2" s="67" t="s">
        <v>50</v>
      </c>
      <c r="T2" s="71" t="s">
        <v>53</v>
      </c>
      <c r="U2" s="73" t="s">
        <v>1</v>
      </c>
      <c r="V2" s="73" t="s">
        <v>56</v>
      </c>
      <c r="W2" s="85"/>
      <c r="X2" s="92" t="s">
        <v>57</v>
      </c>
      <c r="Y2" s="93" t="s">
        <v>58</v>
      </c>
      <c r="Z2" s="94" t="s">
        <v>59</v>
      </c>
    </row>
    <row r="3" spans="1:26" x14ac:dyDescent="0.2">
      <c r="A3" s="75">
        <v>0</v>
      </c>
      <c r="B3" s="66"/>
      <c r="C3" s="7"/>
      <c r="D3" s="8"/>
      <c r="E3" s="8"/>
      <c r="F3" s="9"/>
      <c r="G3" s="10"/>
      <c r="H3" s="8"/>
      <c r="I3" s="8"/>
      <c r="J3" s="11">
        <f>Input!C$12*Input!C$14</f>
        <v>1400000</v>
      </c>
      <c r="K3" s="14"/>
      <c r="L3" s="13"/>
      <c r="M3" s="62"/>
      <c r="N3" s="63"/>
      <c r="O3" s="64">
        <f>-Input!C$12</f>
        <v>-1400000</v>
      </c>
      <c r="P3" s="64">
        <f>O3</f>
        <v>-1400000</v>
      </c>
      <c r="Q3" s="9">
        <f>P3</f>
        <v>-1400000</v>
      </c>
      <c r="R3" s="65">
        <v>1</v>
      </c>
      <c r="S3" s="64">
        <f>P3/R3</f>
        <v>-1400000</v>
      </c>
      <c r="T3" s="9">
        <f>S3</f>
        <v>-1400000</v>
      </c>
      <c r="U3" s="66"/>
      <c r="V3" s="88"/>
      <c r="W3" s="86"/>
      <c r="X3" s="95"/>
      <c r="Y3" s="81"/>
      <c r="Z3" s="96"/>
    </row>
    <row r="4" spans="1:26" x14ac:dyDescent="0.2">
      <c r="A4" s="29">
        <v>1</v>
      </c>
      <c r="B4" s="26">
        <f>Input!C$10*Input!C$18*Input!C$19</f>
        <v>261562</v>
      </c>
      <c r="C4" s="5">
        <f>Input!C$26*B4</f>
        <v>0</v>
      </c>
      <c r="D4" s="2">
        <f>Input!C$12*Input!C$25</f>
        <v>1400</v>
      </c>
      <c r="E4" s="2">
        <f>Input!C$27*Input!C$12</f>
        <v>3000.2</v>
      </c>
      <c r="F4" s="6">
        <f>SUM(C4:E4)</f>
        <v>4400.2</v>
      </c>
      <c r="G4" s="5">
        <f>IF(A4&lt;=Input!C$16,-PMT(Input!C$15,Input!C$16,J$3),0)</f>
        <v>125917.54051936246</v>
      </c>
      <c r="H4" s="2">
        <f t="shared" ref="H4:H23" si="0">G4-I4</f>
        <v>69917.540519362461</v>
      </c>
      <c r="I4" s="2">
        <f>J3*Input!C$15</f>
        <v>56000</v>
      </c>
      <c r="J4" s="6">
        <f t="shared" ref="J4:J23" si="1">J3-H4</f>
        <v>1330082.4594806375</v>
      </c>
      <c r="K4" s="12">
        <f>B4-F4</f>
        <v>257161.8</v>
      </c>
      <c r="L4" s="12">
        <f>Input!C$12*Input!C$23</f>
        <v>70000</v>
      </c>
      <c r="M4" s="3">
        <f>K4-L4-I4</f>
        <v>131161.79999999999</v>
      </c>
      <c r="N4" s="4">
        <f>IF(M4&gt;0,M4*Input!C$22,0)</f>
        <v>38036.921999999991</v>
      </c>
      <c r="O4" s="5">
        <f>B4-F4-N4-I4-H4</f>
        <v>93207.337480637536</v>
      </c>
      <c r="P4" s="5">
        <f t="shared" ref="P4:P23" si="2">I4+O4+H4</f>
        <v>219124.878</v>
      </c>
      <c r="Q4" s="6">
        <f>Q3+P4</f>
        <v>-1180875.122</v>
      </c>
      <c r="R4" s="33">
        <f>R3*(1+Input!C$31)</f>
        <v>1.0284</v>
      </c>
      <c r="S4" s="5">
        <f>P4/R4</f>
        <v>213073.58809801633</v>
      </c>
      <c r="T4" s="6">
        <f>T3+S4</f>
        <v>-1186926.4119019837</v>
      </c>
      <c r="U4" s="39">
        <f>IRR($P$3:P4)</f>
        <v>-0.84348223</v>
      </c>
      <c r="V4" s="89">
        <f t="shared" ref="V4:V23" si="3">IF(T4&gt;0,0,1)</f>
        <v>1</v>
      </c>
      <c r="W4" s="86"/>
      <c r="X4" s="97">
        <f>Input!$C$19*Input!$C$10</f>
        <v>3140</v>
      </c>
      <c r="Y4" s="82">
        <f t="shared" ref="Y4:Y23" si="4">F4/X4</f>
        <v>1.4013375796178342</v>
      </c>
      <c r="Z4" s="98">
        <f t="shared" ref="Z4:Z23" si="5">Y4+G4/X4</f>
        <v>41.502465133554921</v>
      </c>
    </row>
    <row r="5" spans="1:26" x14ac:dyDescent="0.2">
      <c r="A5" s="29">
        <v>2</v>
      </c>
      <c r="B5" s="26">
        <f>B4*(1+(Input!C$29)/4)*(1-Input!C$20)</f>
        <v>258946.38</v>
      </c>
      <c r="C5" s="5">
        <f>Input!C$26*B5</f>
        <v>0</v>
      </c>
      <c r="D5" s="2">
        <f>Input!C$12*Input!C$25*(1-Input!C$23*A4)*(1+Input!C$29)</f>
        <v>1330</v>
      </c>
      <c r="E5" s="2">
        <f>E4*(1+Input!C$29)</f>
        <v>3000.2</v>
      </c>
      <c r="F5" s="6">
        <f t="shared" ref="F5:F23" si="6">SUM(C5:E5)</f>
        <v>4330.2</v>
      </c>
      <c r="G5" s="5">
        <f>IF(A5&lt;=Input!C$16,-PMT(Input!C$15,Input!C$16,J$3),0)</f>
        <v>125917.54051936246</v>
      </c>
      <c r="H5" s="2">
        <f t="shared" si="0"/>
        <v>72714.242140136965</v>
      </c>
      <c r="I5" s="2">
        <f>J4*Input!C$15</f>
        <v>53203.298379225496</v>
      </c>
      <c r="J5" s="6">
        <f t="shared" si="1"/>
        <v>1257368.2173405006</v>
      </c>
      <c r="K5" s="12">
        <f t="shared" ref="K5:K23" si="7">B5-F5</f>
        <v>254616.18</v>
      </c>
      <c r="L5" s="12">
        <f>Input!C$12*Input!C$23</f>
        <v>70000</v>
      </c>
      <c r="M5" s="3">
        <f t="shared" ref="M5:M23" si="8">K5-L5-I5</f>
        <v>131412.88162077451</v>
      </c>
      <c r="N5" s="4">
        <f>IF(M5&gt;0,M5*Input!C$22,0)</f>
        <v>38109.735670024609</v>
      </c>
      <c r="O5" s="5">
        <f t="shared" ref="O5:O23" si="9">B5-F5-N5-I5-H5</f>
        <v>90588.903810612901</v>
      </c>
      <c r="P5" s="5">
        <f t="shared" si="2"/>
        <v>216506.44432997535</v>
      </c>
      <c r="Q5" s="6">
        <f t="shared" ref="Q5:Q23" si="10">Q4+P5</f>
        <v>-964368.67767002457</v>
      </c>
      <c r="R5" s="33">
        <f>R4*(1+Input!C$31)</f>
        <v>1.05760656</v>
      </c>
      <c r="S5" s="5">
        <f>P5/R5</f>
        <v>204713.59815504108</v>
      </c>
      <c r="T5" s="6">
        <f t="shared" ref="T5:T23" si="11">T4+S5</f>
        <v>-982212.81374694256</v>
      </c>
      <c r="U5" s="39">
        <f>IRR($P$3:P5)</f>
        <v>-0.52077738432459353</v>
      </c>
      <c r="V5" s="89">
        <f t="shared" si="3"/>
        <v>1</v>
      </c>
      <c r="W5" s="86"/>
      <c r="X5" s="99">
        <f>X4*(1-Input!$C$20)</f>
        <v>3108.6</v>
      </c>
      <c r="Y5" s="82">
        <f t="shared" si="4"/>
        <v>1.3929743292800618</v>
      </c>
      <c r="Z5" s="98">
        <f t="shared" si="5"/>
        <v>41.899163777701368</v>
      </c>
    </row>
    <row r="6" spans="1:26" x14ac:dyDescent="0.2">
      <c r="A6" s="29">
        <v>3</v>
      </c>
      <c r="B6" s="26">
        <f>B5*(1+(Input!C$29)/4)*(1-Input!C$20)</f>
        <v>256356.91620000001</v>
      </c>
      <c r="C6" s="5">
        <f>Input!C$26*B6</f>
        <v>0</v>
      </c>
      <c r="D6" s="2">
        <f>Input!C$12*Input!C$25*(1-Input!C$23*A5)*(1+Input!C$29)</f>
        <v>1260</v>
      </c>
      <c r="E6" s="2">
        <f>E5*(1+Input!C$29)</f>
        <v>3000.2</v>
      </c>
      <c r="F6" s="6">
        <f t="shared" si="6"/>
        <v>4260.2</v>
      </c>
      <c r="G6" s="5">
        <f>IF(A6&lt;=Input!C$16,-PMT(Input!C$15,Input!C$16,J$3),0)</f>
        <v>125917.54051936246</v>
      </c>
      <c r="H6" s="2">
        <f t="shared" si="0"/>
        <v>75622.811825742436</v>
      </c>
      <c r="I6" s="2">
        <f>J5*Input!C$15</f>
        <v>50294.728693620025</v>
      </c>
      <c r="J6" s="6">
        <f t="shared" si="1"/>
        <v>1181745.4055147581</v>
      </c>
      <c r="K6" s="12">
        <f t="shared" si="7"/>
        <v>252096.7162</v>
      </c>
      <c r="L6" s="12">
        <f>Input!C$12*Input!C$23</f>
        <v>70000</v>
      </c>
      <c r="M6" s="3">
        <f t="shared" si="8"/>
        <v>131801.98750637996</v>
      </c>
      <c r="N6" s="4">
        <f>IF(M6&gt;0,M6*Input!C$22,0)</f>
        <v>38222.576376850186</v>
      </c>
      <c r="O6" s="5">
        <f t="shared" si="9"/>
        <v>87956.599303787327</v>
      </c>
      <c r="P6" s="5">
        <f t="shared" si="2"/>
        <v>213874.13982314977</v>
      </c>
      <c r="Q6" s="6">
        <f t="shared" si="10"/>
        <v>-750494.53784687479</v>
      </c>
      <c r="R6" s="33">
        <f>R5*(1+Input!C$31)</f>
        <v>1.087642586304</v>
      </c>
      <c r="S6" s="5">
        <f t="shared" ref="S6:S23" si="12">P6/R6</f>
        <v>196640.09346115397</v>
      </c>
      <c r="T6" s="6">
        <f t="shared" si="11"/>
        <v>-785572.72028578864</v>
      </c>
      <c r="U6" s="39">
        <f>IRR($P$3:P6)</f>
        <v>-0.30486366701940493</v>
      </c>
      <c r="V6" s="89">
        <f t="shared" si="3"/>
        <v>1</v>
      </c>
      <c r="W6" s="86"/>
      <c r="X6" s="99">
        <f>X5*(1-Input!$C$20)</f>
        <v>3077.5139999999997</v>
      </c>
      <c r="Y6" s="82">
        <f t="shared" si="4"/>
        <v>1.3842991453491358</v>
      </c>
      <c r="Z6" s="98">
        <f t="shared" si="5"/>
        <v>42.299642022542372</v>
      </c>
    </row>
    <row r="7" spans="1:26" x14ac:dyDescent="0.2">
      <c r="A7" s="29">
        <v>4</v>
      </c>
      <c r="B7" s="26">
        <f>B6*(1+(Input!C$29)/4)*(1-Input!C$20)</f>
        <v>253793.34703800001</v>
      </c>
      <c r="C7" s="5">
        <f>Input!C$26*B7</f>
        <v>0</v>
      </c>
      <c r="D7" s="2">
        <f>Input!C$12*Input!C$25*(1-Input!C$23*A6)*(1+Input!C$29)</f>
        <v>1190</v>
      </c>
      <c r="E7" s="2">
        <f>E6*(1+Input!C$29)</f>
        <v>3000.2</v>
      </c>
      <c r="F7" s="6">
        <f t="shared" si="6"/>
        <v>4190.2</v>
      </c>
      <c r="G7" s="5">
        <f>IF(A7&lt;=Input!C$16,-PMT(Input!C$15,Input!C$16,J$3),0)</f>
        <v>125917.54051936246</v>
      </c>
      <c r="H7" s="2">
        <f t="shared" si="0"/>
        <v>78647.72429877214</v>
      </c>
      <c r="I7" s="2">
        <f>J6*Input!C$15</f>
        <v>47269.816220590321</v>
      </c>
      <c r="J7" s="6">
        <f t="shared" si="1"/>
        <v>1103097.6812159859</v>
      </c>
      <c r="K7" s="12">
        <f t="shared" si="7"/>
        <v>249603.147038</v>
      </c>
      <c r="L7" s="12">
        <f>Input!C$12*Input!C$23</f>
        <v>70000</v>
      </c>
      <c r="M7" s="3">
        <f t="shared" si="8"/>
        <v>132333.33081740967</v>
      </c>
      <c r="N7" s="4">
        <f>IF(M7&gt;0,M7*Input!C$22,0)</f>
        <v>38376.665937048805</v>
      </c>
      <c r="O7" s="5">
        <f t="shared" si="9"/>
        <v>85308.940581588744</v>
      </c>
      <c r="P7" s="5">
        <f t="shared" si="2"/>
        <v>211226.48110095121</v>
      </c>
      <c r="Q7" s="6">
        <f t="shared" si="10"/>
        <v>-539268.05674592359</v>
      </c>
      <c r="R7" s="33">
        <f>R6*(1+Input!C$31)</f>
        <v>1.1185316357550337</v>
      </c>
      <c r="S7" s="5">
        <f t="shared" si="12"/>
        <v>188842.65258923022</v>
      </c>
      <c r="T7" s="6">
        <f t="shared" si="11"/>
        <v>-596730.06769655843</v>
      </c>
      <c r="U7" s="39">
        <f>IRR($P$3:P7)</f>
        <v>-0.17056622988351711</v>
      </c>
      <c r="V7" s="89">
        <f t="shared" si="3"/>
        <v>1</v>
      </c>
      <c r="W7" s="86"/>
      <c r="X7" s="99">
        <f>X6*(1-Input!$C$20)</f>
        <v>3046.7388599999995</v>
      </c>
      <c r="Y7" s="82">
        <f t="shared" si="4"/>
        <v>1.3753065794421253</v>
      </c>
      <c r="Z7" s="98">
        <f t="shared" si="5"/>
        <v>42.703935748324184</v>
      </c>
    </row>
    <row r="8" spans="1:26" x14ac:dyDescent="0.2">
      <c r="A8" s="29">
        <v>5</v>
      </c>
      <c r="B8" s="26">
        <f>B7*(1+(Input!C$29)/4)*(1-Input!C$20)</f>
        <v>251255.41356762001</v>
      </c>
      <c r="C8" s="5">
        <f>Input!C$26*B8</f>
        <v>0</v>
      </c>
      <c r="D8" s="2">
        <f>Input!C$12*Input!C$25*(1-Input!C$23*A7)*(1+Input!C$29)</f>
        <v>1120</v>
      </c>
      <c r="E8" s="2">
        <f>E7*(1+Input!C$29)</f>
        <v>3000.2</v>
      </c>
      <c r="F8" s="6">
        <f t="shared" si="6"/>
        <v>4120.2</v>
      </c>
      <c r="G8" s="5">
        <f>IF(A8&lt;=Input!C$16,-PMT(Input!C$15,Input!C$16,J$3),0)</f>
        <v>125917.54051936246</v>
      </c>
      <c r="H8" s="2">
        <f t="shared" si="0"/>
        <v>81793.633270723018</v>
      </c>
      <c r="I8" s="2">
        <f>J7*Input!C$15</f>
        <v>44123.907248639436</v>
      </c>
      <c r="J8" s="6">
        <f t="shared" si="1"/>
        <v>1021304.0479452629</v>
      </c>
      <c r="K8" s="12">
        <f t="shared" si="7"/>
        <v>247135.21356762</v>
      </c>
      <c r="L8" s="12">
        <f>Input!C$12*Input!C$23</f>
        <v>70000</v>
      </c>
      <c r="M8" s="3">
        <f t="shared" si="8"/>
        <v>133011.30631898055</v>
      </c>
      <c r="N8" s="4">
        <f>IF(M8&gt;0,M8*Input!C$22,0)</f>
        <v>38573.278832504358</v>
      </c>
      <c r="O8" s="5">
        <f t="shared" si="9"/>
        <v>82644.394215753186</v>
      </c>
      <c r="P8" s="5">
        <f t="shared" si="2"/>
        <v>208561.93473511565</v>
      </c>
      <c r="Q8" s="6">
        <f t="shared" si="10"/>
        <v>-330706.12201080797</v>
      </c>
      <c r="R8" s="33">
        <f>R7*(1+Input!C$31)</f>
        <v>1.1502979342104767</v>
      </c>
      <c r="S8" s="5">
        <f t="shared" si="12"/>
        <v>181311.23123181571</v>
      </c>
      <c r="T8" s="6">
        <f t="shared" si="11"/>
        <v>-415418.83646474272</v>
      </c>
      <c r="U8" s="39">
        <f>IRR($P$3:P8)</f>
        <v>-8.4213342144369929E-2</v>
      </c>
      <c r="V8" s="89">
        <f t="shared" si="3"/>
        <v>1</v>
      </c>
      <c r="W8" s="86"/>
      <c r="X8" s="99">
        <f>X7*(1-Input!$C$20)</f>
        <v>3016.2714713999994</v>
      </c>
      <c r="Y8" s="82">
        <f t="shared" si="4"/>
        <v>1.3659911049344684</v>
      </c>
      <c r="Z8" s="98">
        <f t="shared" si="5"/>
        <v>43.112081174512305</v>
      </c>
    </row>
    <row r="9" spans="1:26" x14ac:dyDescent="0.2">
      <c r="A9" s="29">
        <v>6</v>
      </c>
      <c r="B9" s="26">
        <f>B8*(1+(Input!C$29)/4)*(1-Input!C$20)</f>
        <v>248742.8594319438</v>
      </c>
      <c r="C9" s="5">
        <f>Input!C$26*B9</f>
        <v>0</v>
      </c>
      <c r="D9" s="2">
        <f>Input!C$12*Input!C$25*(1-Input!C$23*A8)*(1+Input!C$29)</f>
        <v>1050</v>
      </c>
      <c r="E9" s="2">
        <f>E8*(1+Input!C$29)</f>
        <v>3000.2</v>
      </c>
      <c r="F9" s="6">
        <f t="shared" si="6"/>
        <v>4050.2</v>
      </c>
      <c r="G9" s="5">
        <f>IF(A9&lt;=Input!C$16,-PMT(Input!C$15,Input!C$16,J$3),0)</f>
        <v>125917.54051936246</v>
      </c>
      <c r="H9" s="2">
        <f t="shared" si="0"/>
        <v>85065.378601551944</v>
      </c>
      <c r="I9" s="2">
        <f>J8*Input!C$15</f>
        <v>40852.161917810517</v>
      </c>
      <c r="J9" s="6">
        <f t="shared" si="1"/>
        <v>936238.66934371088</v>
      </c>
      <c r="K9" s="12">
        <f t="shared" si="7"/>
        <v>244692.65943194379</v>
      </c>
      <c r="L9" s="12">
        <f>Input!C$12*Input!C$23</f>
        <v>70000</v>
      </c>
      <c r="M9" s="3">
        <f t="shared" si="8"/>
        <v>133840.49751413328</v>
      </c>
      <c r="N9" s="4">
        <f>IF(M9&gt;0,M9*Input!C$22,0)</f>
        <v>38813.744279098646</v>
      </c>
      <c r="O9" s="5">
        <f t="shared" si="9"/>
        <v>79961.374633482701</v>
      </c>
      <c r="P9" s="5">
        <f t="shared" si="2"/>
        <v>205878.91515284515</v>
      </c>
      <c r="Q9" s="6">
        <f t="shared" si="10"/>
        <v>-124827.20685796282</v>
      </c>
      <c r="R9" s="33">
        <f>R8*(1+Input!C$31)</f>
        <v>1.1829663955420542</v>
      </c>
      <c r="S9" s="5">
        <f t="shared" si="12"/>
        <v>174036.14838822884</v>
      </c>
      <c r="T9" s="6">
        <f t="shared" si="11"/>
        <v>-241382.68807651388</v>
      </c>
      <c r="U9" s="39">
        <f>IRR($P$3:P9)</f>
        <v>-2.6311480443343083E-2</v>
      </c>
      <c r="V9" s="89">
        <f t="shared" si="3"/>
        <v>1</v>
      </c>
      <c r="W9" s="86"/>
      <c r="X9" s="99">
        <f>X8*(1-Input!$C$20)</f>
        <v>2986.1087566859992</v>
      </c>
      <c r="Y9" s="82">
        <f t="shared" si="4"/>
        <v>1.3563471159352332</v>
      </c>
      <c r="Z9" s="98">
        <f t="shared" si="5"/>
        <v>43.524114862983566</v>
      </c>
    </row>
    <row r="10" spans="1:26" x14ac:dyDescent="0.2">
      <c r="A10" s="29">
        <v>7</v>
      </c>
      <c r="B10" s="26">
        <f>B9*(1+(Input!C$29)/4)*(1-Input!C$20)</f>
        <v>246255.43083762436</v>
      </c>
      <c r="C10" s="5">
        <f>Input!C$26*B10</f>
        <v>0</v>
      </c>
      <c r="D10" s="2">
        <f>Input!C$12*Input!C$25*(1-Input!C$23*A9)*(1+Input!C$29)</f>
        <v>979.99999999999989</v>
      </c>
      <c r="E10" s="2">
        <f>E9*(1+Input!C$29)</f>
        <v>3000.2</v>
      </c>
      <c r="F10" s="6">
        <f t="shared" si="6"/>
        <v>3980.2</v>
      </c>
      <c r="G10" s="5">
        <f>IF(A10&lt;=Input!C$16,-PMT(Input!C$15,Input!C$16,J$3),0)</f>
        <v>125917.54051936246</v>
      </c>
      <c r="H10" s="2">
        <f t="shared" si="0"/>
        <v>88467.993745614018</v>
      </c>
      <c r="I10" s="2">
        <f>J9*Input!C$15</f>
        <v>37449.546773748436</v>
      </c>
      <c r="J10" s="6">
        <f t="shared" si="1"/>
        <v>847770.6755980968</v>
      </c>
      <c r="K10" s="12">
        <f t="shared" si="7"/>
        <v>242275.23083762435</v>
      </c>
      <c r="L10" s="12">
        <f>Input!C$12*Input!C$23</f>
        <v>70000</v>
      </c>
      <c r="M10" s="3">
        <f t="shared" si="8"/>
        <v>134825.6840638759</v>
      </c>
      <c r="N10" s="4">
        <f>IF(M10&gt;0,M10*Input!C$22,0)</f>
        <v>39099.448378524008</v>
      </c>
      <c r="O10" s="5">
        <f t="shared" si="9"/>
        <v>77258.241939737869</v>
      </c>
      <c r="P10" s="5">
        <f t="shared" si="2"/>
        <v>203175.78245910033</v>
      </c>
      <c r="Q10" s="6">
        <f t="shared" si="10"/>
        <v>78348.575601137505</v>
      </c>
      <c r="R10" s="33">
        <f>R9*(1+Input!C$31)</f>
        <v>1.2165626411754484</v>
      </c>
      <c r="S10" s="5">
        <f t="shared" si="12"/>
        <v>167008.07305967488</v>
      </c>
      <c r="T10" s="6">
        <f t="shared" si="11"/>
        <v>-74374.615016839001</v>
      </c>
      <c r="U10" s="39">
        <f>IRR($P$3:P10)</f>
        <v>1.3981186286182945E-2</v>
      </c>
      <c r="V10" s="89">
        <f t="shared" si="3"/>
        <v>1</v>
      </c>
      <c r="W10" s="86"/>
      <c r="X10" s="99">
        <f>X9*(1-Input!$C$20)</f>
        <v>2956.2476691191391</v>
      </c>
      <c r="Y10" s="82">
        <f t="shared" si="4"/>
        <v>1.3463689262496614</v>
      </c>
      <c r="Z10" s="98">
        <f t="shared" si="5"/>
        <v>43.94007372124797</v>
      </c>
    </row>
    <row r="11" spans="1:26" x14ac:dyDescent="0.2">
      <c r="A11" s="29">
        <v>8</v>
      </c>
      <c r="B11" s="26">
        <f>B10*(1+(Input!C$29)/4)*(1-Input!C$20)</f>
        <v>243792.87652924811</v>
      </c>
      <c r="C11" s="5">
        <f>Input!C$26*B11</f>
        <v>0</v>
      </c>
      <c r="D11" s="2">
        <f>Input!C$12*Input!C$25*(1-Input!C$23*A10)*(1+Input!C$29)</f>
        <v>909.99999999999989</v>
      </c>
      <c r="E11" s="2">
        <f>E10*(1+Input!C$29)</f>
        <v>3000.2</v>
      </c>
      <c r="F11" s="6">
        <f t="shared" si="6"/>
        <v>3910.2</v>
      </c>
      <c r="G11" s="5">
        <f>IF(A11&lt;=Input!C$16,-PMT(Input!C$15,Input!C$16,J$3),0)</f>
        <v>125917.54051936246</v>
      </c>
      <c r="H11" s="2">
        <f t="shared" si="0"/>
        <v>92006.713495438598</v>
      </c>
      <c r="I11" s="2">
        <f>J10*Input!C$15</f>
        <v>33910.82702392387</v>
      </c>
      <c r="J11" s="6">
        <f t="shared" si="1"/>
        <v>755763.96210265823</v>
      </c>
      <c r="K11" s="12">
        <f t="shared" si="7"/>
        <v>239882.6765292481</v>
      </c>
      <c r="L11" s="12">
        <f>Input!C$12*Input!C$23</f>
        <v>70000</v>
      </c>
      <c r="M11" s="3">
        <f t="shared" si="8"/>
        <v>135971.84950532424</v>
      </c>
      <c r="N11" s="4">
        <f>IF(M11&gt;0,M11*Input!C$22,0)</f>
        <v>39431.836356544023</v>
      </c>
      <c r="O11" s="5">
        <f t="shared" si="9"/>
        <v>74533.299653341615</v>
      </c>
      <c r="P11" s="5">
        <f t="shared" si="2"/>
        <v>200450.84017270408</v>
      </c>
      <c r="Q11" s="6">
        <f t="shared" si="10"/>
        <v>278799.41577384155</v>
      </c>
      <c r="R11" s="33">
        <f>R10*(1+Input!C$31)</f>
        <v>1.2511130201848311</v>
      </c>
      <c r="S11" s="5">
        <f t="shared" si="12"/>
        <v>160218.011433604</v>
      </c>
      <c r="T11" s="6">
        <f t="shared" si="11"/>
        <v>85843.396416764997</v>
      </c>
      <c r="U11" s="39">
        <f>IRR($P$3:P11)</f>
        <v>4.2900667306076334E-2</v>
      </c>
      <c r="V11" s="89">
        <f t="shared" si="3"/>
        <v>0</v>
      </c>
      <c r="W11" s="86"/>
      <c r="X11" s="99">
        <f>X10*(1-Input!$C$20)</f>
        <v>2926.6851924279476</v>
      </c>
      <c r="Y11" s="82">
        <f t="shared" si="4"/>
        <v>1.3360507683288405</v>
      </c>
      <c r="Z11" s="98">
        <f t="shared" si="5"/>
        <v>44.359995005700874</v>
      </c>
    </row>
    <row r="12" spans="1:26" x14ac:dyDescent="0.2">
      <c r="A12" s="29">
        <v>9</v>
      </c>
      <c r="B12" s="26">
        <f>B11*(1+(Input!C$29)/4)*(1-Input!C$20)</f>
        <v>241354.94776395563</v>
      </c>
      <c r="C12" s="5">
        <f>Input!C$26*B12</f>
        <v>0</v>
      </c>
      <c r="D12" s="2">
        <f>Input!C$12*Input!C$25*(1-Input!C$23*A11)*(1+Input!C$29)</f>
        <v>840</v>
      </c>
      <c r="E12" s="2">
        <f>E11*(1+Input!C$29)</f>
        <v>3000.2</v>
      </c>
      <c r="F12" s="6">
        <f t="shared" si="6"/>
        <v>3840.2</v>
      </c>
      <c r="G12" s="5">
        <f>IF(A12&lt;=Input!C$16,-PMT(Input!C$15,Input!C$16,J$3),0)</f>
        <v>125917.54051936246</v>
      </c>
      <c r="H12" s="2">
        <f t="shared" si="0"/>
        <v>95686.982035256136</v>
      </c>
      <c r="I12" s="2">
        <f>J11*Input!C$15</f>
        <v>30230.558484106328</v>
      </c>
      <c r="J12" s="6">
        <f t="shared" si="1"/>
        <v>660076.98006740212</v>
      </c>
      <c r="K12" s="12">
        <f t="shared" si="7"/>
        <v>237514.74776395562</v>
      </c>
      <c r="L12" s="12">
        <f>Input!C$12*Input!C$23</f>
        <v>70000</v>
      </c>
      <c r="M12" s="3">
        <f t="shared" si="8"/>
        <v>137284.18927984929</v>
      </c>
      <c r="N12" s="4">
        <f>IF(M12&gt;0,M12*Input!C$22,0)</f>
        <v>39812.414891156295</v>
      </c>
      <c r="O12" s="5">
        <f t="shared" si="9"/>
        <v>71784.792353436846</v>
      </c>
      <c r="P12" s="5">
        <f t="shared" si="2"/>
        <v>197702.33287279931</v>
      </c>
      <c r="Q12" s="6">
        <f t="shared" si="10"/>
        <v>476501.74864664086</v>
      </c>
      <c r="R12" s="33">
        <f>R11*(1+Input!C$31)</f>
        <v>1.2866446299580803</v>
      </c>
      <c r="S12" s="5">
        <f t="shared" si="12"/>
        <v>153657.29453923932</v>
      </c>
      <c r="T12" s="6">
        <f t="shared" si="11"/>
        <v>239500.69095600431</v>
      </c>
      <c r="U12" s="39">
        <f>IRR($P$3:P12)</f>
        <v>6.4193553686108906E-2</v>
      </c>
      <c r="V12" s="89">
        <f t="shared" si="3"/>
        <v>0</v>
      </c>
      <c r="W12" s="86"/>
      <c r="X12" s="99">
        <f>X11*(1-Input!$C$20)</f>
        <v>2897.4183405036683</v>
      </c>
      <c r="Y12" s="82">
        <f t="shared" si="4"/>
        <v>1.3253867922063489</v>
      </c>
      <c r="Z12" s="98">
        <f t="shared" si="5"/>
        <v>44.783916324905377</v>
      </c>
    </row>
    <row r="13" spans="1:26" x14ac:dyDescent="0.2">
      <c r="A13" s="29">
        <v>10</v>
      </c>
      <c r="B13" s="26">
        <f>B12*(1+(Input!C$29)/4)*(1-Input!C$20)</f>
        <v>238941.39828631608</v>
      </c>
      <c r="C13" s="5">
        <f>Input!C$26*B13</f>
        <v>0</v>
      </c>
      <c r="D13" s="2">
        <f>Input!C$12*Input!C$25*(1-Input!C$23*A12)*(1+Input!C$29)</f>
        <v>770.00000000000011</v>
      </c>
      <c r="E13" s="2">
        <f>E12*(1+Input!C$29)</f>
        <v>3000.2</v>
      </c>
      <c r="F13" s="6">
        <f t="shared" si="6"/>
        <v>3770.2</v>
      </c>
      <c r="G13" s="5">
        <f>IF(A13&lt;=Input!C$16,-PMT(Input!C$15,Input!C$16,J$3),0)</f>
        <v>125917.54051936246</v>
      </c>
      <c r="H13" s="2">
        <f t="shared" si="0"/>
        <v>99514.461316666377</v>
      </c>
      <c r="I13" s="2">
        <f>J12*Input!C$15</f>
        <v>26403.079202696084</v>
      </c>
      <c r="J13" s="6">
        <f t="shared" si="1"/>
        <v>560562.51875073579</v>
      </c>
      <c r="K13" s="12">
        <f t="shared" si="7"/>
        <v>235171.19828631607</v>
      </c>
      <c r="L13" s="12">
        <f>Input!C$12*Input!C$23</f>
        <v>70000</v>
      </c>
      <c r="M13" s="3">
        <f t="shared" si="8"/>
        <v>138768.11908361997</v>
      </c>
      <c r="N13" s="4">
        <f>IF(M13&gt;0,M13*Input!C$22,0)</f>
        <v>40242.754534249791</v>
      </c>
      <c r="O13" s="5">
        <f t="shared" si="9"/>
        <v>69010.903232703815</v>
      </c>
      <c r="P13" s="5">
        <f t="shared" si="2"/>
        <v>194928.44375206629</v>
      </c>
      <c r="Q13" s="6">
        <f t="shared" si="10"/>
        <v>671430.19239870715</v>
      </c>
      <c r="R13" s="33">
        <f>R12*(1+Input!C$31)</f>
        <v>1.3231853374488898</v>
      </c>
      <c r="S13" s="5">
        <f t="shared" si="12"/>
        <v>147317.56635687154</v>
      </c>
      <c r="T13" s="6">
        <f t="shared" si="11"/>
        <v>386818.25731287582</v>
      </c>
      <c r="U13" s="39">
        <f>IRR($P$3:P13)</f>
        <v>8.0205670837854015E-2</v>
      </c>
      <c r="V13" s="89">
        <f t="shared" si="3"/>
        <v>0</v>
      </c>
      <c r="W13" s="86"/>
      <c r="X13" s="99">
        <f>X12*(1-Input!$C$20)</f>
        <v>2868.4441570986314</v>
      </c>
      <c r="Y13" s="82">
        <f t="shared" si="4"/>
        <v>1.3143710644217228</v>
      </c>
      <c r="Z13" s="98">
        <f t="shared" si="5"/>
        <v>45.211875642905582</v>
      </c>
    </row>
    <row r="14" spans="1:26" x14ac:dyDescent="0.2">
      <c r="A14" s="29">
        <v>11</v>
      </c>
      <c r="B14" s="26">
        <f>B13*(1+(Input!C$29)/4)*(1-Input!C$20)</f>
        <v>236551.98430345292</v>
      </c>
      <c r="C14" s="5">
        <f>Input!C$26*B14</f>
        <v>0</v>
      </c>
      <c r="D14" s="2">
        <f>Input!C$12*Input!C$25*(1-Input!C$23*A13)*(1+Input!C$29)</f>
        <v>700</v>
      </c>
      <c r="E14" s="2">
        <f>E13*(1+Input!C$29)</f>
        <v>3000.2</v>
      </c>
      <c r="F14" s="6">
        <f t="shared" si="6"/>
        <v>3700.2</v>
      </c>
      <c r="G14" s="5">
        <f>IF(A14&lt;=Input!C$16,-PMT(Input!C$15,Input!C$16,J$3),0)</f>
        <v>125917.54051936246</v>
      </c>
      <c r="H14" s="2">
        <f t="shared" si="0"/>
        <v>103495.03976933303</v>
      </c>
      <c r="I14" s="2">
        <f>J13*Input!C$15</f>
        <v>22422.50075002943</v>
      </c>
      <c r="J14" s="6">
        <f t="shared" si="1"/>
        <v>457067.47898140276</v>
      </c>
      <c r="K14" s="12">
        <f t="shared" si="7"/>
        <v>232851.78430345291</v>
      </c>
      <c r="L14" s="12">
        <f>Input!C$12*Input!C$23</f>
        <v>70000</v>
      </c>
      <c r="M14" s="3">
        <f t="shared" si="8"/>
        <v>140429.28355342348</v>
      </c>
      <c r="N14" s="4">
        <f>IF(M14&gt;0,M14*Input!C$22,0)</f>
        <v>40724.492230492804</v>
      </c>
      <c r="O14" s="5">
        <f t="shared" si="9"/>
        <v>66209.751553597656</v>
      </c>
      <c r="P14" s="5">
        <f t="shared" si="2"/>
        <v>192127.29207296012</v>
      </c>
      <c r="Q14" s="6">
        <f t="shared" si="10"/>
        <v>863557.48447166733</v>
      </c>
      <c r="R14" s="33">
        <f>R13*(1+Input!C$31)</f>
        <v>1.3607638010324383</v>
      </c>
      <c r="S14" s="5">
        <f t="shared" si="12"/>
        <v>141190.77236416002</v>
      </c>
      <c r="T14" s="6">
        <f t="shared" si="11"/>
        <v>528009.02967703587</v>
      </c>
      <c r="U14" s="39">
        <f>IRR($P$3:P14)</f>
        <v>9.2460479721821587E-2</v>
      </c>
      <c r="V14" s="89">
        <f t="shared" si="3"/>
        <v>0</v>
      </c>
      <c r="W14" s="86"/>
      <c r="X14" s="99">
        <f>X13*(1-Input!$C$20)</f>
        <v>2839.7597155276449</v>
      </c>
      <c r="Y14" s="82">
        <f t="shared" si="4"/>
        <v>1.3029975669305809</v>
      </c>
      <c r="Z14" s="98">
        <f t="shared" si="5"/>
        <v>45.643911282570848</v>
      </c>
    </row>
    <row r="15" spans="1:26" x14ac:dyDescent="0.2">
      <c r="A15" s="29">
        <v>12</v>
      </c>
      <c r="B15" s="26">
        <f>B14*(1+(Input!C$29)/4)*(1-Input!C$20)</f>
        <v>234186.46446041838</v>
      </c>
      <c r="C15" s="5">
        <f>Input!C$26*B15</f>
        <v>0</v>
      </c>
      <c r="D15" s="2">
        <f>Input!C$12*Input!C$25*(1-Input!C$23*A14)*(1+Input!C$29)</f>
        <v>629.99999999999989</v>
      </c>
      <c r="E15" s="2">
        <f>E14*(1+Input!C$29)</f>
        <v>3000.2</v>
      </c>
      <c r="F15" s="6">
        <f t="shared" si="6"/>
        <v>3630.2</v>
      </c>
      <c r="G15" s="5">
        <f>IF(A15&lt;=Input!C$16,-PMT(Input!C$15,Input!C$16,J$3),0)</f>
        <v>125917.54051936246</v>
      </c>
      <c r="H15" s="2">
        <f t="shared" si="0"/>
        <v>107634.84136010635</v>
      </c>
      <c r="I15" s="2">
        <f>J14*Input!C$15</f>
        <v>18282.69915925611</v>
      </c>
      <c r="J15" s="6">
        <f t="shared" si="1"/>
        <v>349432.6376212964</v>
      </c>
      <c r="K15" s="12">
        <f t="shared" si="7"/>
        <v>230556.26446041837</v>
      </c>
      <c r="L15" s="12">
        <f>Input!C$12*Input!C$23</f>
        <v>70000</v>
      </c>
      <c r="M15" s="3">
        <f t="shared" si="8"/>
        <v>142273.56530116225</v>
      </c>
      <c r="N15" s="4">
        <f>IF(M15&gt;0,M15*Input!C$22,0)</f>
        <v>41259.333937337047</v>
      </c>
      <c r="O15" s="5">
        <f t="shared" si="9"/>
        <v>63379.390003718858</v>
      </c>
      <c r="P15" s="5">
        <f t="shared" si="2"/>
        <v>189296.93052308133</v>
      </c>
      <c r="Q15" s="6">
        <f t="shared" si="10"/>
        <v>1052854.4149947488</v>
      </c>
      <c r="R15" s="33">
        <f>R14*(1+Input!C$31)</f>
        <v>1.3994094929817595</v>
      </c>
      <c r="S15" s="5">
        <f t="shared" si="12"/>
        <v>135269.14850330283</v>
      </c>
      <c r="T15" s="6">
        <f t="shared" si="11"/>
        <v>663278.1781803387</v>
      </c>
      <c r="U15" s="39">
        <f>IRR($P$3:P15)</f>
        <v>0.10197932351582595</v>
      </c>
      <c r="V15" s="89">
        <f t="shared" si="3"/>
        <v>0</v>
      </c>
      <c r="W15" s="86"/>
      <c r="X15" s="99">
        <f>X14*(1-Input!$C$20)</f>
        <v>2811.3621183723685</v>
      </c>
      <c r="Y15" s="82">
        <f t="shared" si="4"/>
        <v>1.291260196001252</v>
      </c>
      <c r="Z15" s="98">
        <f t="shared" si="5"/>
        <v>46.080061928971226</v>
      </c>
    </row>
    <row r="16" spans="1:26" x14ac:dyDescent="0.2">
      <c r="A16" s="29">
        <v>13</v>
      </c>
      <c r="B16" s="26">
        <f>B15*(1+(Input!C$29)/4)*(1-Input!C$20)</f>
        <v>231844.5998158142</v>
      </c>
      <c r="C16" s="5">
        <f>Input!C$26*B16</f>
        <v>0</v>
      </c>
      <c r="D16" s="2">
        <f>Input!C$12*Input!C$25*(1-Input!C$23*A15)*(1+Input!C$29)</f>
        <v>559.99999999999989</v>
      </c>
      <c r="E16" s="2">
        <f>E15*(1+Input!C$29)</f>
        <v>3000.2</v>
      </c>
      <c r="F16" s="6">
        <f t="shared" si="6"/>
        <v>3560.2</v>
      </c>
      <c r="G16" s="5">
        <f>IF(A16&lt;=Input!C$16,-PMT(Input!C$15,Input!C$16,J$3),0)</f>
        <v>125917.54051936246</v>
      </c>
      <c r="H16" s="2">
        <f t="shared" si="0"/>
        <v>111940.2350145106</v>
      </c>
      <c r="I16" s="2">
        <f>J15*Input!C$15</f>
        <v>13977.305504851856</v>
      </c>
      <c r="J16" s="6">
        <f t="shared" si="1"/>
        <v>237492.40260678579</v>
      </c>
      <c r="K16" s="12">
        <f t="shared" si="7"/>
        <v>228284.39981581419</v>
      </c>
      <c r="L16" s="12">
        <f>Input!C$12*Input!C$23</f>
        <v>70000</v>
      </c>
      <c r="M16" s="3">
        <f t="shared" si="8"/>
        <v>144307.09431096233</v>
      </c>
      <c r="N16" s="4">
        <f>IF(M16&gt;0,M16*Input!C$22,0)</f>
        <v>41849.057350179071</v>
      </c>
      <c r="O16" s="5">
        <f t="shared" si="9"/>
        <v>60517.801946272666</v>
      </c>
      <c r="P16" s="5">
        <f t="shared" si="2"/>
        <v>186435.34246563513</v>
      </c>
      <c r="Q16" s="6">
        <f t="shared" si="10"/>
        <v>1239289.7574603839</v>
      </c>
      <c r="R16" s="33">
        <f>R15*(1+Input!C$31)</f>
        <v>1.4391527225824414</v>
      </c>
      <c r="S16" s="5">
        <f t="shared" si="12"/>
        <v>129545.21055353472</v>
      </c>
      <c r="T16" s="6">
        <f t="shared" si="11"/>
        <v>792823.38873387338</v>
      </c>
      <c r="U16" s="39">
        <f>IRR($P$3:P16)</f>
        <v>0.10946605415726074</v>
      </c>
      <c r="V16" s="89">
        <f t="shared" si="3"/>
        <v>0</v>
      </c>
      <c r="W16" s="86"/>
      <c r="X16" s="99">
        <f>X15*(1-Input!$C$20)</f>
        <v>2783.2484971886447</v>
      </c>
      <c r="Y16" s="82">
        <f t="shared" si="4"/>
        <v>1.2791527610977433</v>
      </c>
      <c r="Z16" s="98">
        <f t="shared" si="5"/>
        <v>46.52036663278458</v>
      </c>
    </row>
    <row r="17" spans="1:26" x14ac:dyDescent="0.2">
      <c r="A17" s="29">
        <v>14</v>
      </c>
      <c r="B17" s="26">
        <f>B16*(1+(Input!C$29)/4)*(1-Input!C$20)</f>
        <v>229526.15381765607</v>
      </c>
      <c r="C17" s="5">
        <f>Input!C$26*B17</f>
        <v>0</v>
      </c>
      <c r="D17" s="2">
        <f>Input!C$12*Input!C$25*(1-Input!C$23*A16)*(1+Input!C$29)</f>
        <v>489.99999999999994</v>
      </c>
      <c r="E17" s="2">
        <f>E16*(1+Input!C$29)</f>
        <v>3000.2</v>
      </c>
      <c r="F17" s="6">
        <f t="shared" si="6"/>
        <v>3490.2</v>
      </c>
      <c r="G17" s="5">
        <f>IF(A17&lt;=Input!C$16,-PMT(Input!C$15,Input!C$16,J$3),0)</f>
        <v>125917.54051936246</v>
      </c>
      <c r="H17" s="2">
        <f t="shared" si="0"/>
        <v>116417.84441509104</v>
      </c>
      <c r="I17" s="2">
        <f>J16*Input!C$15</f>
        <v>9499.696104271432</v>
      </c>
      <c r="J17" s="6">
        <f t="shared" si="1"/>
        <v>121074.55819169476</v>
      </c>
      <c r="K17" s="12">
        <f t="shared" si="7"/>
        <v>226035.95381765606</v>
      </c>
      <c r="L17" s="12">
        <f>Input!C$12*Input!C$23</f>
        <v>70000</v>
      </c>
      <c r="M17" s="3">
        <f t="shared" si="8"/>
        <v>146536.25771338464</v>
      </c>
      <c r="N17" s="4">
        <f>IF(M17&gt;0,M17*Input!C$22,0)</f>
        <v>42495.514736881538</v>
      </c>
      <c r="O17" s="5">
        <f t="shared" si="9"/>
        <v>57622.898561412061</v>
      </c>
      <c r="P17" s="5">
        <f t="shared" si="2"/>
        <v>183540.43908077452</v>
      </c>
      <c r="Q17" s="6">
        <f t="shared" si="10"/>
        <v>1422830.1965411585</v>
      </c>
      <c r="R17" s="33">
        <f>R16*(1+Input!C$31)</f>
        <v>1.4800246599037827</v>
      </c>
      <c r="S17" s="5">
        <f t="shared" si="12"/>
        <v>124011.74389398795</v>
      </c>
      <c r="T17" s="6">
        <f t="shared" si="11"/>
        <v>916835.13262786134</v>
      </c>
      <c r="U17" s="39">
        <f>IRR($P$3:P17)</f>
        <v>0.11541748856666567</v>
      </c>
      <c r="V17" s="89">
        <f t="shared" si="3"/>
        <v>0</v>
      </c>
      <c r="W17" s="86"/>
      <c r="X17" s="99">
        <f>X16*(1-Input!$C$20)</f>
        <v>2755.4160122167582</v>
      </c>
      <c r="Y17" s="82">
        <f t="shared" si="4"/>
        <v>1.2666689837488827</v>
      </c>
      <c r="Z17" s="98">
        <f t="shared" si="5"/>
        <v>46.964864813735595</v>
      </c>
    </row>
    <row r="18" spans="1:26" x14ac:dyDescent="0.2">
      <c r="A18" s="29">
        <v>15</v>
      </c>
      <c r="B18" s="26">
        <f>B17*(1+(Input!C$29)/4)*(1-Input!C$20)</f>
        <v>227230.89227947951</v>
      </c>
      <c r="C18" s="5">
        <f>Input!C$26*B18</f>
        <v>0</v>
      </c>
      <c r="D18" s="2">
        <f>Input!C$12*Input!C$25*(1-Input!C$23*A17)*(1+Input!C$29)</f>
        <v>419.99999999999989</v>
      </c>
      <c r="E18" s="2">
        <f>E17*(1+Input!C$29)</f>
        <v>3000.2</v>
      </c>
      <c r="F18" s="6">
        <f t="shared" si="6"/>
        <v>3420.2</v>
      </c>
      <c r="G18" s="5">
        <f>IF(A18&lt;=Input!C$16,-PMT(Input!C$15,Input!C$16,J$3),0)</f>
        <v>125917.54051936246</v>
      </c>
      <c r="H18" s="2">
        <f t="shared" si="0"/>
        <v>121074.55819169467</v>
      </c>
      <c r="I18" s="2">
        <f>J17*Input!C$15</f>
        <v>4842.9823276677907</v>
      </c>
      <c r="J18" s="6">
        <f t="shared" si="1"/>
        <v>0</v>
      </c>
      <c r="K18" s="12">
        <f t="shared" si="7"/>
        <v>223810.6922794795</v>
      </c>
      <c r="L18" s="12">
        <f>Input!C$12*Input!C$23</f>
        <v>70000</v>
      </c>
      <c r="M18" s="3">
        <f t="shared" si="8"/>
        <v>148967.7099518117</v>
      </c>
      <c r="N18" s="4">
        <f>IF(M18&gt;0,M18*Input!C$22,0)</f>
        <v>43200.635886025389</v>
      </c>
      <c r="O18" s="5">
        <f t="shared" si="9"/>
        <v>54692.515874091652</v>
      </c>
      <c r="P18" s="5">
        <f t="shared" si="2"/>
        <v>180610.05639345411</v>
      </c>
      <c r="Q18" s="6">
        <f t="shared" si="10"/>
        <v>1603440.2529346126</v>
      </c>
      <c r="R18" s="33">
        <f>R17*(1+Input!C$31)</f>
        <v>1.5220573602450502</v>
      </c>
      <c r="S18" s="5">
        <f t="shared" si="12"/>
        <v>118661.79364250504</v>
      </c>
      <c r="T18" s="6">
        <f t="shared" si="11"/>
        <v>1035496.9262703664</v>
      </c>
      <c r="U18" s="39">
        <f>IRR($P$3:P18)</f>
        <v>0.1201917227583662</v>
      </c>
      <c r="V18" s="89">
        <f t="shared" si="3"/>
        <v>0</v>
      </c>
      <c r="W18" s="86"/>
      <c r="X18" s="99">
        <f>X17*(1-Input!$C$20)</f>
        <v>2727.8618520945906</v>
      </c>
      <c r="Y18" s="82">
        <f t="shared" si="4"/>
        <v>1.2538024964034733</v>
      </c>
      <c r="Z18" s="98">
        <f t="shared" si="5"/>
        <v>47.413596264066811</v>
      </c>
    </row>
    <row r="19" spans="1:26" x14ac:dyDescent="0.2">
      <c r="A19" s="29">
        <v>16</v>
      </c>
      <c r="B19" s="26">
        <f>B18*(1+(Input!C$29)/4)*(1-Input!C$20)</f>
        <v>224958.58335668471</v>
      </c>
      <c r="C19" s="5">
        <f>Input!C$26*B19</f>
        <v>0</v>
      </c>
      <c r="D19" s="2">
        <f>Input!C$12*Input!C$25*(1-Input!C$23*A18)*(1+Input!C$29)</f>
        <v>350</v>
      </c>
      <c r="E19" s="2">
        <f>E18*(1+Input!C$29)</f>
        <v>3000.2</v>
      </c>
      <c r="F19" s="6">
        <f t="shared" si="6"/>
        <v>3350.2</v>
      </c>
      <c r="G19" s="5">
        <f>IF(A19&lt;=Input!C$16,-PMT(Input!C$15,Input!C$16,J$3),0)</f>
        <v>0</v>
      </c>
      <c r="H19" s="2">
        <f t="shared" si="0"/>
        <v>0</v>
      </c>
      <c r="I19" s="2">
        <f>J18*Input!C$15</f>
        <v>0</v>
      </c>
      <c r="J19" s="6">
        <f t="shared" si="1"/>
        <v>0</v>
      </c>
      <c r="K19" s="12">
        <f t="shared" si="7"/>
        <v>221608.3833566847</v>
      </c>
      <c r="L19" s="12">
        <f>Input!C$12*Input!C$23</f>
        <v>70000</v>
      </c>
      <c r="M19" s="3">
        <f t="shared" si="8"/>
        <v>151608.3833566847</v>
      </c>
      <c r="N19" s="4">
        <f>IF(M19&gt;0,M19*Input!C$22,0)</f>
        <v>43966.431173438563</v>
      </c>
      <c r="O19" s="5">
        <f t="shared" si="9"/>
        <v>177641.95218324615</v>
      </c>
      <c r="P19" s="5">
        <f t="shared" si="2"/>
        <v>177641.95218324615</v>
      </c>
      <c r="Q19" s="6">
        <f t="shared" si="10"/>
        <v>1781082.2051178587</v>
      </c>
      <c r="R19" s="33">
        <f>R18*(1+Input!C$31)</f>
        <v>1.5652837892760096</v>
      </c>
      <c r="S19" s="5">
        <f t="shared" si="12"/>
        <v>113488.6551565265</v>
      </c>
      <c r="T19" s="6">
        <f t="shared" si="11"/>
        <v>1148985.5814268929</v>
      </c>
      <c r="U19" s="39">
        <f>IRR($P$3:P19)</f>
        <v>0.12405165110250338</v>
      </c>
      <c r="V19" s="89">
        <f t="shared" si="3"/>
        <v>0</v>
      </c>
      <c r="W19" s="86"/>
      <c r="X19" s="99">
        <f>X18*(1-Input!$C$20)</f>
        <v>2700.5832335736445</v>
      </c>
      <c r="Y19" s="82">
        <f t="shared" si="4"/>
        <v>1.2405468412712932</v>
      </c>
      <c r="Z19" s="98">
        <f t="shared" si="5"/>
        <v>1.2405468412712932</v>
      </c>
    </row>
    <row r="20" spans="1:26" x14ac:dyDescent="0.2">
      <c r="A20" s="29">
        <v>17</v>
      </c>
      <c r="B20" s="26">
        <f>B19*(1+(Input!C$29)/4)*(1-Input!C$20)</f>
        <v>222708.99752311787</v>
      </c>
      <c r="C20" s="5">
        <f>Input!C$26*B20</f>
        <v>0</v>
      </c>
      <c r="D20" s="2">
        <f>Input!C$12*Input!C$25*(1-Input!C$23*A19)*(1+Input!C$29)</f>
        <v>279.99999999999994</v>
      </c>
      <c r="E20" s="2">
        <f>E19*(1+Input!C$29)</f>
        <v>3000.2</v>
      </c>
      <c r="F20" s="6">
        <f t="shared" si="6"/>
        <v>3280.2</v>
      </c>
      <c r="G20" s="5">
        <f>IF(A20&lt;=Input!C$16,-PMT(Input!C$15,Input!C$16,J$3),0)</f>
        <v>0</v>
      </c>
      <c r="H20" s="2">
        <f t="shared" si="0"/>
        <v>0</v>
      </c>
      <c r="I20" s="2">
        <f>J19*Input!C$15</f>
        <v>0</v>
      </c>
      <c r="J20" s="6">
        <f t="shared" si="1"/>
        <v>0</v>
      </c>
      <c r="K20" s="12">
        <f t="shared" si="7"/>
        <v>219428.79752311786</v>
      </c>
      <c r="L20" s="12">
        <f>Input!C$12*Input!C$23</f>
        <v>70000</v>
      </c>
      <c r="M20" s="3">
        <f t="shared" si="8"/>
        <v>149428.79752311786</v>
      </c>
      <c r="N20" s="4">
        <f>IF(M20&gt;0,M20*Input!C$22,0)</f>
        <v>43334.351281704177</v>
      </c>
      <c r="O20" s="5">
        <f t="shared" si="9"/>
        <v>176094.44624141368</v>
      </c>
      <c r="P20" s="5">
        <f t="shared" si="2"/>
        <v>176094.44624141368</v>
      </c>
      <c r="Q20" s="6">
        <f t="shared" si="10"/>
        <v>1957176.6513592724</v>
      </c>
      <c r="R20" s="33">
        <f>R19*(1+Input!C$31)</f>
        <v>1.6097378488914482</v>
      </c>
      <c r="S20" s="5">
        <f t="shared" si="12"/>
        <v>109393.24459736208</v>
      </c>
      <c r="T20" s="6">
        <f t="shared" si="11"/>
        <v>1258378.826024255</v>
      </c>
      <c r="U20" s="39">
        <f>IRR($P$3:P20)</f>
        <v>0.12721884298405994</v>
      </c>
      <c r="V20" s="89">
        <f t="shared" si="3"/>
        <v>0</v>
      </c>
      <c r="W20" s="86"/>
      <c r="X20" s="99">
        <f>X19*(1-Input!$C$20)</f>
        <v>2673.5774012379079</v>
      </c>
      <c r="Y20" s="82">
        <f t="shared" si="4"/>
        <v>1.2268954691497678</v>
      </c>
      <c r="Z20" s="98">
        <f t="shared" si="5"/>
        <v>1.2268954691497678</v>
      </c>
    </row>
    <row r="21" spans="1:26" x14ac:dyDescent="0.2">
      <c r="A21" s="29">
        <v>18</v>
      </c>
      <c r="B21" s="26">
        <f>B20*(1+(Input!C$29)/4)*(1-Input!C$20)</f>
        <v>220481.90754788669</v>
      </c>
      <c r="C21" s="5">
        <f>Input!C$26*B21</f>
        <v>0</v>
      </c>
      <c r="D21" s="2">
        <f>Input!C$12*Input!C$25*(1-Input!C$23*A20)*(1+Input!C$29)</f>
        <v>209.99999999999989</v>
      </c>
      <c r="E21" s="2">
        <f>E20*(1+Input!C$29)</f>
        <v>3000.2</v>
      </c>
      <c r="F21" s="6">
        <f t="shared" si="6"/>
        <v>3210.2</v>
      </c>
      <c r="G21" s="5">
        <f>IF(A21&lt;=Input!C$16,-PMT(Input!C$15,Input!C$16,J$3),0)</f>
        <v>0</v>
      </c>
      <c r="H21" s="2">
        <f t="shared" si="0"/>
        <v>0</v>
      </c>
      <c r="I21" s="2">
        <f>J20*Input!C$15</f>
        <v>0</v>
      </c>
      <c r="J21" s="6">
        <f t="shared" si="1"/>
        <v>0</v>
      </c>
      <c r="K21" s="12">
        <f t="shared" si="7"/>
        <v>217271.70754788668</v>
      </c>
      <c r="L21" s="12">
        <f>Input!C$12*Input!C$23</f>
        <v>70000</v>
      </c>
      <c r="M21" s="3">
        <f t="shared" si="8"/>
        <v>147271.70754788668</v>
      </c>
      <c r="N21" s="4">
        <f>IF(M21&gt;0,M21*Input!C$22,0)</f>
        <v>42708.795188887132</v>
      </c>
      <c r="O21" s="5">
        <f t="shared" si="9"/>
        <v>174562.91235899954</v>
      </c>
      <c r="P21" s="5">
        <f t="shared" si="2"/>
        <v>174562.91235899954</v>
      </c>
      <c r="Q21" s="6">
        <f t="shared" si="10"/>
        <v>2131739.5637182719</v>
      </c>
      <c r="R21" s="33">
        <f>R20*(1+Input!C$31)</f>
        <v>1.6554544037999652</v>
      </c>
      <c r="S21" s="5">
        <f t="shared" si="12"/>
        <v>105447.1279657743</v>
      </c>
      <c r="T21" s="6">
        <f t="shared" si="11"/>
        <v>1363825.9539900294</v>
      </c>
      <c r="U21" s="39">
        <f>IRR($P$3:P21)</f>
        <v>0.12983290761671684</v>
      </c>
      <c r="V21" s="89">
        <f t="shared" si="3"/>
        <v>0</v>
      </c>
      <c r="W21" s="86"/>
      <c r="X21" s="99">
        <f>X20*(1-Input!$C$20)</f>
        <v>2646.841627225529</v>
      </c>
      <c r="Y21" s="82">
        <f t="shared" si="4"/>
        <v>1.212841738236146</v>
      </c>
      <c r="Z21" s="98">
        <f t="shared" si="5"/>
        <v>1.212841738236146</v>
      </c>
    </row>
    <row r="22" spans="1:26" x14ac:dyDescent="0.2">
      <c r="A22" s="29">
        <v>19</v>
      </c>
      <c r="B22" s="26">
        <f>B21*(1+(Input!C$29)/4)*(1-Input!C$20)</f>
        <v>218277.08847240781</v>
      </c>
      <c r="C22" s="5">
        <f>Input!C$26*B22</f>
        <v>0</v>
      </c>
      <c r="D22" s="2">
        <f>Input!C$12*Input!C$25*(1-Input!C$23*A21)*(1+Input!C$29)</f>
        <v>139.99999999999997</v>
      </c>
      <c r="E22" s="2">
        <f>E21*(1+Input!C$29)</f>
        <v>3000.2</v>
      </c>
      <c r="F22" s="6">
        <f t="shared" si="6"/>
        <v>3140.2</v>
      </c>
      <c r="G22" s="5">
        <f>IF(A22&lt;=Input!C$16,-PMT(Input!C$15,Input!C$16,J$3),0)</f>
        <v>0</v>
      </c>
      <c r="H22" s="2">
        <f t="shared" si="0"/>
        <v>0</v>
      </c>
      <c r="I22" s="2">
        <f>J21*Input!C$15</f>
        <v>0</v>
      </c>
      <c r="J22" s="6">
        <f t="shared" si="1"/>
        <v>0</v>
      </c>
      <c r="K22" s="12">
        <f t="shared" si="7"/>
        <v>215136.88847240779</v>
      </c>
      <c r="L22" s="12">
        <f>Input!C$12*Input!C$23</f>
        <v>70000</v>
      </c>
      <c r="M22" s="3">
        <f t="shared" si="8"/>
        <v>145136.88847240779</v>
      </c>
      <c r="N22" s="4">
        <f>IF(M22&gt;0,M22*Input!C$22,0)</f>
        <v>42089.697656998258</v>
      </c>
      <c r="O22" s="5">
        <f t="shared" si="9"/>
        <v>173047.19081540953</v>
      </c>
      <c r="P22" s="5">
        <f t="shared" si="2"/>
        <v>173047.19081540953</v>
      </c>
      <c r="Q22" s="6">
        <f t="shared" si="10"/>
        <v>2304786.7545336816</v>
      </c>
      <c r="R22" s="33">
        <f>R21*(1+Input!C$31)</f>
        <v>1.7024693088678842</v>
      </c>
      <c r="S22" s="5">
        <f t="shared" si="12"/>
        <v>101644.82256099128</v>
      </c>
      <c r="T22" s="6">
        <f t="shared" si="11"/>
        <v>1465470.7765510208</v>
      </c>
      <c r="U22" s="39">
        <f>IRR($P$3:P22)</f>
        <v>0.1320016989503916</v>
      </c>
      <c r="V22" s="89">
        <f t="shared" si="3"/>
        <v>0</v>
      </c>
      <c r="W22" s="86"/>
      <c r="X22" s="99">
        <f>X21*(1-Input!$C$20)</f>
        <v>2620.3732109532739</v>
      </c>
      <c r="Y22" s="82">
        <f t="shared" si="4"/>
        <v>1.1983789129250091</v>
      </c>
      <c r="Z22" s="98">
        <f t="shared" si="5"/>
        <v>1.1983789129250091</v>
      </c>
    </row>
    <row r="23" spans="1:26" x14ac:dyDescent="0.2">
      <c r="A23" s="30">
        <v>20</v>
      </c>
      <c r="B23" s="26">
        <f>B22*(1+(Input!C$29)/4)*(1-Input!C$20)</f>
        <v>216094.31758768373</v>
      </c>
      <c r="C23" s="5">
        <f>Input!C$26*B23</f>
        <v>0</v>
      </c>
      <c r="D23" s="2">
        <f>Input!C$12*Input!C$25*(1-Input!C$23*A22)*(1+Input!C$29)</f>
        <v>69.999999999999901</v>
      </c>
      <c r="E23" s="2">
        <f>E22*(1+Input!C$29)</f>
        <v>3000.2</v>
      </c>
      <c r="F23" s="17">
        <f t="shared" si="6"/>
        <v>3070.2</v>
      </c>
      <c r="G23" s="5">
        <f>IF(A23&lt;=Input!C$16,-PMT(Input!C$15,Input!C$16,J$3),0)</f>
        <v>0</v>
      </c>
      <c r="H23" s="16">
        <f t="shared" si="0"/>
        <v>0</v>
      </c>
      <c r="I23" s="2">
        <f>J22*Input!C$15</f>
        <v>0</v>
      </c>
      <c r="J23" s="17">
        <f t="shared" si="1"/>
        <v>0</v>
      </c>
      <c r="K23" s="12">
        <f t="shared" si="7"/>
        <v>213024.11758768372</v>
      </c>
      <c r="L23" s="12">
        <f>Input!C$12*Input!C$23</f>
        <v>70000</v>
      </c>
      <c r="M23" s="3">
        <f t="shared" si="8"/>
        <v>143024.11758768372</v>
      </c>
      <c r="N23" s="4">
        <f>IF(M23&gt;0,M23*Input!C$22,0)</f>
        <v>41476.994100428274</v>
      </c>
      <c r="O23" s="5">
        <f t="shared" si="9"/>
        <v>171547.12348725545</v>
      </c>
      <c r="P23" s="5">
        <f t="shared" si="2"/>
        <v>171547.12348725545</v>
      </c>
      <c r="Q23" s="17">
        <f t="shared" si="10"/>
        <v>2476333.8780209371</v>
      </c>
      <c r="R23" s="33">
        <f>R22*(1+Input!C$31)</f>
        <v>1.7508194372397321</v>
      </c>
      <c r="S23" s="15">
        <f t="shared" si="12"/>
        <v>97981.048095804435</v>
      </c>
      <c r="T23" s="17">
        <f t="shared" si="11"/>
        <v>1563451.8246468252</v>
      </c>
      <c r="U23" s="39">
        <f>IRR($P$3:P23)</f>
        <v>0.13380940232608252</v>
      </c>
      <c r="V23" s="90">
        <f t="shared" si="3"/>
        <v>0</v>
      </c>
      <c r="W23" s="86"/>
      <c r="X23" s="99">
        <f>X22*(1-Input!$C$20)</f>
        <v>2594.1694788437412</v>
      </c>
      <c r="Y23" s="82">
        <f t="shared" si="4"/>
        <v>1.1835001625909316</v>
      </c>
      <c r="Z23" s="98">
        <f t="shared" si="5"/>
        <v>1.1835001625909316</v>
      </c>
    </row>
    <row r="24" spans="1:26" ht="13.5" thickBot="1" x14ac:dyDescent="0.25">
      <c r="A24" s="31"/>
      <c r="B24" s="27"/>
      <c r="C24" s="22"/>
      <c r="D24" s="19"/>
      <c r="E24" s="19"/>
      <c r="F24" s="21"/>
      <c r="G24" s="22"/>
      <c r="H24" s="19"/>
      <c r="I24" s="19"/>
      <c r="J24" s="21"/>
      <c r="K24" s="59"/>
      <c r="L24" s="24"/>
      <c r="M24" s="19"/>
      <c r="N24" s="19"/>
      <c r="O24" s="22"/>
      <c r="P24" s="22"/>
      <c r="Q24" s="21"/>
      <c r="R24" s="34"/>
      <c r="S24" s="22"/>
      <c r="T24" s="21"/>
      <c r="U24" s="40"/>
      <c r="V24" s="40"/>
      <c r="W24" s="87"/>
      <c r="X24" s="100"/>
      <c r="Y24" s="45"/>
      <c r="Z24" s="46"/>
    </row>
    <row r="25" spans="1:26" ht="13.5" thickBot="1" x14ac:dyDescent="0.25">
      <c r="A25" s="32" t="s">
        <v>0</v>
      </c>
      <c r="B25" s="28">
        <f t="shared" ref="B25:O25" si="13">SUM(B3:B23)</f>
        <v>4762862.5588193107</v>
      </c>
      <c r="C25" s="23">
        <f t="shared" si="13"/>
        <v>0</v>
      </c>
      <c r="D25" s="18">
        <f t="shared" si="13"/>
        <v>14700</v>
      </c>
      <c r="E25" s="18">
        <f t="shared" si="13"/>
        <v>60003.999999999978</v>
      </c>
      <c r="F25" s="20">
        <f t="shared" si="13"/>
        <v>74703.999999999971</v>
      </c>
      <c r="G25" s="23">
        <f t="shared" si="13"/>
        <v>1888763.1077904373</v>
      </c>
      <c r="H25" s="18">
        <f t="shared" si="13"/>
        <v>1399999.9999999995</v>
      </c>
      <c r="I25" s="18">
        <f t="shared" si="13"/>
        <v>488763.10779043712</v>
      </c>
      <c r="J25" s="20">
        <f t="shared" si="13"/>
        <v>12219077.69476093</v>
      </c>
      <c r="K25" s="20">
        <f t="shared" si="13"/>
        <v>4688158.5588193089</v>
      </c>
      <c r="L25" s="25">
        <f t="shared" si="13"/>
        <v>1400000</v>
      </c>
      <c r="M25" s="18">
        <f t="shared" si="13"/>
        <v>2799395.4510288723</v>
      </c>
      <c r="N25" s="18">
        <f t="shared" si="13"/>
        <v>811824.68079837295</v>
      </c>
      <c r="O25" s="23">
        <f t="shared" si="13"/>
        <v>587570.77023049956</v>
      </c>
      <c r="P25" s="23">
        <f t="shared" ref="P25" si="14">SUM(P3:P23)</f>
        <v>2476333.8780209371</v>
      </c>
      <c r="Q25" s="20">
        <f>Q23</f>
        <v>2476333.8780209371</v>
      </c>
      <c r="R25" s="35"/>
      <c r="S25" s="23">
        <f>SUM(S3:S23)</f>
        <v>1563451.8246468252</v>
      </c>
      <c r="T25" s="37">
        <f>T23</f>
        <v>1563451.8246468252</v>
      </c>
      <c r="U25" s="38">
        <f>U23</f>
        <v>0.13380940232608252</v>
      </c>
      <c r="V25" s="91">
        <f>SUM(V3:V23)</f>
        <v>7</v>
      </c>
      <c r="W25" s="36"/>
      <c r="X25" s="101">
        <f>SUM(X4:X23)</f>
        <v>57177.221594469469</v>
      </c>
      <c r="Y25" s="102">
        <f>($X4*Y4+$X5*Y5+$X6*Y6+$X7*Y7+$X8*Y8+$X9*Y9+$X10*Y10+$X11*Y11+$X12*Y12+$X13*Y13+$X14*Y14+$X15*Y15+$X16*Y16+$X17*Y17+$X18*Y18+$X19*Y19+$X20*Y20+$X21*Y21+$X22*Y22+$X23*Y23)/$X25</f>
        <v>1.3065342791547221</v>
      </c>
      <c r="Z25" s="103">
        <f>($X4*Z4+$X5*Z5+$X6*Z6+$X7*Z7+$X8*Z8+$X9*Z9+$X10*Z10+$X11*Z11+$X12*Z12+$X13*Z13+$X14*Z14+$X15*Z15+$X16*Z16+$X17*Z17+$X18*Z18+$X19*Z19+$X20*Z20+$X21*Z21+$X22*Z22+$X23*Z23)/$X25</f>
        <v>34.340023055271288</v>
      </c>
    </row>
    <row r="26" spans="1:26" x14ac:dyDescent="0.2">
      <c r="T26" s="36"/>
    </row>
    <row r="27" spans="1:26" x14ac:dyDescent="0.2">
      <c r="G27" s="83"/>
      <c r="H27" s="1"/>
    </row>
    <row r="28" spans="1:26" ht="12" customHeight="1" x14ac:dyDescent="0.2">
      <c r="G28" s="83"/>
      <c r="H28" s="1"/>
    </row>
    <row r="29" spans="1:26" ht="12" customHeight="1" x14ac:dyDescent="0.2">
      <c r="G29" s="83"/>
      <c r="H29" s="1"/>
      <c r="O29" s="1"/>
      <c r="Q29" s="1"/>
    </row>
    <row r="30" spans="1:26" x14ac:dyDescent="0.2">
      <c r="G30" s="83"/>
      <c r="H30" s="1"/>
      <c r="O30" s="1"/>
      <c r="Q30" s="1"/>
    </row>
    <row r="31" spans="1:26" x14ac:dyDescent="0.2">
      <c r="G31" s="83"/>
      <c r="H31" s="1"/>
      <c r="O31" s="1"/>
      <c r="Q31" s="1"/>
    </row>
    <row r="32" spans="1:26" ht="12" customHeight="1" x14ac:dyDescent="0.2">
      <c r="G32" s="83"/>
      <c r="H32" s="1"/>
      <c r="O32" s="1"/>
      <c r="Q32" s="1"/>
    </row>
    <row r="33" spans="7:8" x14ac:dyDescent="0.2">
      <c r="G33" s="83"/>
      <c r="H33" s="1"/>
    </row>
    <row r="34" spans="7:8" ht="12" customHeight="1" x14ac:dyDescent="0.2">
      <c r="G34" s="83"/>
      <c r="H34" s="1"/>
    </row>
    <row r="35" spans="7:8" x14ac:dyDescent="0.2">
      <c r="G35" s="83"/>
      <c r="H35" s="1"/>
    </row>
    <row r="36" spans="7:8" ht="12" customHeight="1" x14ac:dyDescent="0.2">
      <c r="G36" s="83"/>
      <c r="H36" s="1"/>
    </row>
    <row r="37" spans="7:8" ht="12" customHeight="1" x14ac:dyDescent="0.2">
      <c r="G37" s="83"/>
      <c r="H37" s="1"/>
    </row>
    <row r="38" spans="7:8" ht="12" customHeight="1" x14ac:dyDescent="0.2">
      <c r="G38" s="83"/>
      <c r="H38" s="1"/>
    </row>
    <row r="39" spans="7:8" x14ac:dyDescent="0.2">
      <c r="G39" s="83"/>
      <c r="H39" s="1"/>
    </row>
    <row r="40" spans="7:8" ht="12" customHeight="1" x14ac:dyDescent="0.2">
      <c r="G40" s="83"/>
      <c r="H40" s="1"/>
    </row>
    <row r="41" spans="7:8" ht="12" customHeight="1" x14ac:dyDescent="0.2">
      <c r="G41" s="83"/>
      <c r="H41" s="1"/>
    </row>
    <row r="42" spans="7:8" x14ac:dyDescent="0.2">
      <c r="G42" s="83"/>
      <c r="H42" s="1"/>
    </row>
    <row r="43" spans="7:8" x14ac:dyDescent="0.2">
      <c r="G43" s="83"/>
      <c r="H43" s="1"/>
    </row>
    <row r="44" spans="7:8" x14ac:dyDescent="0.2">
      <c r="G44" s="83"/>
      <c r="H44" s="1"/>
    </row>
    <row r="45" spans="7:8" x14ac:dyDescent="0.2">
      <c r="G45" s="83"/>
      <c r="H45" s="1"/>
    </row>
    <row r="46" spans="7:8" x14ac:dyDescent="0.2">
      <c r="G46" s="83"/>
      <c r="H46" s="1"/>
    </row>
    <row r="47" spans="7:8" ht="12" customHeight="1" x14ac:dyDescent="0.2">
      <c r="G47" s="83"/>
    </row>
    <row r="48" spans="7:8" ht="13.5" customHeight="1" x14ac:dyDescent="0.2"/>
    <row r="49" ht="12" customHeight="1" x14ac:dyDescent="0.2"/>
  </sheetData>
  <mergeCells count="5">
    <mergeCell ref="S1:T1"/>
    <mergeCell ref="C1:F1"/>
    <mergeCell ref="G1:J1"/>
    <mergeCell ref="K1:N1"/>
    <mergeCell ref="O1:Q1"/>
  </mergeCells>
  <pageMargins left="0.75000000000000011" right="0.75000000000000011" top="1" bottom="1" header="0.5" footer="0.5"/>
  <pageSetup paperSize="9" scale="6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91"/>
  <sheetViews>
    <sheetView topLeftCell="A138" workbookViewId="0">
      <selection activeCell="D151" sqref="D151"/>
    </sheetView>
  </sheetViews>
  <sheetFormatPr defaultColWidth="8.7109375" defaultRowHeight="12.75" x14ac:dyDescent="0.2"/>
  <cols>
    <col min="1" max="1" width="16.28515625" customWidth="1"/>
    <col min="2" max="2" width="12.28515625" bestFit="1" customWidth="1"/>
    <col min="14" max="14" width="10.140625" bestFit="1" customWidth="1"/>
  </cols>
  <sheetData>
    <row r="1" spans="1:13" x14ac:dyDescent="0.2">
      <c r="A1" s="104"/>
      <c r="B1" s="105"/>
    </row>
    <row r="2" spans="1:13" x14ac:dyDescent="0.2">
      <c r="A2" s="104"/>
    </row>
    <row r="3" spans="1:13" x14ac:dyDescent="0.2">
      <c r="A3" s="104"/>
      <c r="B3" s="104"/>
    </row>
    <row r="4" spans="1:13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9" spans="1:13" x14ac:dyDescent="0.2">
      <c r="A29" s="104"/>
    </row>
    <row r="30" spans="1:13" x14ac:dyDescent="0.2">
      <c r="A30" s="104"/>
      <c r="B30" s="104"/>
    </row>
    <row r="31" spans="1:13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6" spans="1:13" x14ac:dyDescent="0.2">
      <c r="A56" s="104"/>
      <c r="B56" s="104"/>
    </row>
    <row r="57" spans="1:13" x14ac:dyDescent="0.2">
      <c r="A57" s="10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0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0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0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0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0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0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0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0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0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0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0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0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0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0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0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0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0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0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0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0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0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0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0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2" spans="1:13" x14ac:dyDescent="0.2">
      <c r="A82" s="104"/>
      <c r="B82" s="105"/>
    </row>
    <row r="83" spans="1:13" x14ac:dyDescent="0.2">
      <c r="A83" s="104"/>
      <c r="B83" s="104"/>
    </row>
    <row r="84" spans="1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4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4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4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4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4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4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4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4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4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4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4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06"/>
    </row>
    <row r="109" spans="1:14" x14ac:dyDescent="0.2">
      <c r="A109" s="104"/>
      <c r="B109" s="105"/>
    </row>
    <row r="110" spans="1:14" x14ac:dyDescent="0.2">
      <c r="A110" s="104"/>
      <c r="B110" s="104"/>
    </row>
    <row r="111" spans="1:14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4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4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4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4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4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4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4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06"/>
    </row>
    <row r="137" spans="1:14" x14ac:dyDescent="0.2">
      <c r="A137" s="104"/>
      <c r="B137" s="105"/>
    </row>
    <row r="138" spans="1:14" x14ac:dyDescent="0.2">
      <c r="A138" s="104"/>
      <c r="B138" s="104"/>
    </row>
    <row r="139" spans="1:14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4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4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4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4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4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4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4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06"/>
    </row>
    <row r="164" spans="1:14" x14ac:dyDescent="0.2">
      <c r="A164" s="104"/>
      <c r="B164" s="105"/>
    </row>
    <row r="165" spans="1:14" x14ac:dyDescent="0.2">
      <c r="A165" s="104"/>
      <c r="B165" s="104"/>
    </row>
    <row r="189" spans="14:14" x14ac:dyDescent="0.2">
      <c r="N189" s="106"/>
    </row>
    <row r="191" spans="14:14" x14ac:dyDescent="0.2">
      <c r="N191" s="107"/>
    </row>
  </sheetData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8.7109375" defaultRowHeight="12.75" x14ac:dyDescent="0.2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RiskSerializationData</vt:lpstr>
      <vt:lpstr>Input</vt:lpstr>
      <vt:lpstr>Project IRR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Athanasios Dagoumas</dc:creator>
  <cp:keywords/>
  <dc:description/>
  <cp:lastModifiedBy>Dag</cp:lastModifiedBy>
  <cp:lastPrinted>2013-10-16T10:54:01Z</cp:lastPrinted>
  <dcterms:created xsi:type="dcterms:W3CDTF">2011-11-04T06:42:36Z</dcterms:created>
  <dcterms:modified xsi:type="dcterms:W3CDTF">2017-10-21T18:11:04Z</dcterms:modified>
  <cp:category/>
</cp:coreProperties>
</file>